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Eigene Dateien\"/>
    </mc:Choice>
  </mc:AlternateContent>
  <workbookProtection workbookAlgorithmName="SHA-512" workbookHashValue="qFZ2O7WdywcyisMysiySanVg4APULEnAcbQL5bn2T1Y1ld0gbfsNuFp+GPMLTAHsVLVWeS5+rYZh/4EAHSGlKQ==" workbookSaltValue="2cLYnfd5FXTAq4vWc0OzHw==" workbookSpinCount="100000" lockStructure="1"/>
  <bookViews>
    <workbookView xWindow="0" yWindow="0" windowWidth="21570" windowHeight="8970" tabRatio="744"/>
  </bookViews>
  <sheets>
    <sheet name="Betreuungszuschussrechner" sheetId="15" r:id="rId1"/>
    <sheet name="Berechnung" sheetId="16" state="hidden" r:id="rId2"/>
  </sheets>
  <definedNames>
    <definedName name="_xlnm.Print_Area" localSheetId="0">Betreuungszuschussrechner!$A$1:$CX$115</definedName>
    <definedName name="Z_248B9209_13D1_4C60_B20B_E24C58628D8B_.wvu.Cols" localSheetId="0" hidden="1">Betreuungszuschussrechner!$E:$E,Betreuungszuschussrechner!$X:$XFD</definedName>
    <definedName name="Z_248B9209_13D1_4C60_B20B_E24C58628D8B_.wvu.Rows" localSheetId="0" hidden="1">Betreuungszuschussrechner!$111:$1048576,Betreuungszuschussrechner!$100:$110</definedName>
  </definedNames>
  <calcPr calcId="162913"/>
</workbook>
</file>

<file path=xl/calcChain.xml><?xml version="1.0" encoding="utf-8"?>
<calcChain xmlns="http://schemas.openxmlformats.org/spreadsheetml/2006/main">
  <c r="L6" i="16" l="1"/>
  <c r="N6" i="16" l="1"/>
  <c r="Q12" i="16" s="1"/>
  <c r="N5" i="16"/>
  <c r="N12" i="16" s="1"/>
  <c r="M6" i="16"/>
  <c r="P12" i="16" s="1"/>
  <c r="M5" i="16"/>
  <c r="M12" i="16" s="1"/>
  <c r="O12" i="16"/>
  <c r="L5" i="16"/>
  <c r="L12" i="16" s="1"/>
  <c r="L14" i="16" l="1"/>
  <c r="M14" i="16"/>
  <c r="K13" i="16"/>
  <c r="M21" i="16" l="1"/>
  <c r="M19" i="16"/>
  <c r="M20" i="16"/>
  <c r="M13" i="16"/>
  <c r="M26" i="16"/>
  <c r="M18" i="16"/>
  <c r="M25" i="16"/>
  <c r="M17" i="16"/>
  <c r="M24" i="16"/>
  <c r="M16" i="16"/>
  <c r="M23" i="16"/>
  <c r="M15" i="16"/>
  <c r="M22" i="16"/>
  <c r="L25" i="16"/>
  <c r="L13" i="16"/>
  <c r="N16" i="16"/>
  <c r="N24" i="16"/>
  <c r="N18" i="16"/>
  <c r="N26" i="16"/>
  <c r="N21" i="16"/>
  <c r="N14" i="16"/>
  <c r="N15" i="16"/>
  <c r="N19" i="16"/>
  <c r="N13" i="16"/>
  <c r="N20" i="16"/>
  <c r="N22" i="16"/>
  <c r="N23" i="16"/>
  <c r="N25" i="16"/>
  <c r="N17" i="16"/>
  <c r="L20" i="16"/>
  <c r="L19" i="16"/>
  <c r="L18" i="16"/>
  <c r="L26" i="16"/>
  <c r="L17" i="16"/>
  <c r="L24" i="16"/>
  <c r="L16" i="16"/>
  <c r="L23" i="16"/>
  <c r="L15" i="16"/>
  <c r="L22" i="16"/>
  <c r="L21" i="16"/>
  <c r="Q18" i="16" l="1"/>
  <c r="Q26" i="16"/>
  <c r="Q19" i="16"/>
  <c r="Q13" i="16"/>
  <c r="Q20" i="16"/>
  <c r="Q21" i="16"/>
  <c r="Q14" i="16"/>
  <c r="Q22" i="16"/>
  <c r="Q15" i="16"/>
  <c r="Q23" i="16"/>
  <c r="Q16" i="16"/>
  <c r="Q24" i="16"/>
  <c r="Q25" i="16"/>
  <c r="Q17" i="16"/>
  <c r="P20" i="16"/>
  <c r="P18" i="16"/>
  <c r="P21" i="16"/>
  <c r="P19" i="16"/>
  <c r="P14" i="16"/>
  <c r="P22" i="16"/>
  <c r="P25" i="16"/>
  <c r="P15" i="16"/>
  <c r="P23" i="16"/>
  <c r="P16" i="16"/>
  <c r="P24" i="16"/>
  <c r="P26" i="16"/>
  <c r="P13" i="16"/>
  <c r="P17" i="16"/>
  <c r="O16" i="16"/>
  <c r="O24" i="16"/>
  <c r="O21" i="16"/>
  <c r="O23" i="16"/>
  <c r="O17" i="16"/>
  <c r="O25" i="16"/>
  <c r="O22" i="16"/>
  <c r="O18" i="16"/>
  <c r="O26" i="16"/>
  <c r="O13" i="16"/>
  <c r="O14" i="16"/>
  <c r="O15" i="16"/>
  <c r="O19" i="16"/>
  <c r="O20" i="16"/>
  <c r="O44" i="15"/>
  <c r="S44" i="15"/>
  <c r="Q44" i="15"/>
  <c r="M49" i="15"/>
  <c r="G14" i="15" l="1"/>
  <c r="C12" i="15" l="1"/>
  <c r="G18" i="15" s="1"/>
  <c r="G12" i="15" l="1"/>
  <c r="Q19" i="15"/>
  <c r="C22" i="15" s="1"/>
  <c r="G16" i="15"/>
  <c r="C31" i="15" l="1"/>
  <c r="M31" i="15" s="1"/>
  <c r="C28" i="15"/>
  <c r="M28" i="15" s="1"/>
  <c r="C37" i="15"/>
  <c r="C34" i="15"/>
  <c r="C24" i="15"/>
  <c r="M24" i="15" s="1"/>
  <c r="C26" i="15"/>
  <c r="Q9" i="15"/>
  <c r="B31" i="16"/>
  <c r="M55" i="15"/>
  <c r="B4" i="16"/>
  <c r="O28" i="15" l="1"/>
  <c r="O31" i="15"/>
  <c r="M64" i="15"/>
  <c r="M61" i="15"/>
  <c r="M58" i="15"/>
  <c r="N24" i="15" l="1"/>
  <c r="H24" i="15"/>
  <c r="H28" i="15"/>
  <c r="H37" i="15"/>
  <c r="H34" i="15"/>
  <c r="H31" i="15"/>
  <c r="H26" i="15"/>
  <c r="C40" i="15" l="1"/>
  <c r="C44" i="15" s="1"/>
  <c r="C49" i="15" s="1"/>
  <c r="C4" i="16"/>
  <c r="C46" i="15" l="1"/>
  <c r="C57" i="15"/>
  <c r="M57" i="15" s="1"/>
  <c r="C63" i="15"/>
  <c r="M63" i="15" s="1"/>
  <c r="C60" i="15"/>
  <c r="M60" i="15" s="1"/>
  <c r="C54" i="15"/>
  <c r="C66" i="15" l="1"/>
  <c r="C68" i="15" s="1"/>
  <c r="M54" i="15"/>
  <c r="S71" i="15" l="1"/>
  <c r="Q71" i="15"/>
  <c r="O70" i="15"/>
  <c r="O38" i="15"/>
  <c r="C31" i="16" l="1"/>
  <c r="C22" i="16"/>
  <c r="C13" i="16"/>
  <c r="A4" i="16" l="1"/>
  <c r="F29" i="16" l="1"/>
  <c r="G29" i="16" s="1"/>
  <c r="A7" i="16"/>
  <c r="J104" i="15" l="1"/>
  <c r="I104" i="15"/>
  <c r="H104" i="15"/>
  <c r="S104" i="15"/>
  <c r="K14" i="16"/>
  <c r="K15" i="16" s="1"/>
  <c r="K24" i="16"/>
  <c r="K25" i="16" s="1"/>
  <c r="K26" i="16" s="1"/>
  <c r="K17" i="16"/>
  <c r="K18" i="16" s="1"/>
  <c r="K19" i="16" l="1"/>
  <c r="K20" i="16" s="1"/>
  <c r="K21" i="16" s="1"/>
  <c r="K22" i="16" s="1"/>
  <c r="A13" i="16" l="1"/>
  <c r="B13" i="16"/>
  <c r="A31" i="16"/>
  <c r="A22" i="16"/>
  <c r="B22" i="16"/>
  <c r="E107" i="15"/>
  <c r="E106" i="15"/>
  <c r="E105" i="15"/>
  <c r="E104" i="15"/>
  <c r="A16" i="16" l="1"/>
  <c r="A25" i="16"/>
  <c r="J106" i="15" s="1"/>
  <c r="A34" i="16"/>
  <c r="J107" i="15" s="1"/>
  <c r="H105" i="15" l="1"/>
  <c r="J105" i="15"/>
  <c r="I106" i="15"/>
  <c r="H106" i="15"/>
  <c r="I107" i="15"/>
  <c r="H107" i="15"/>
  <c r="I105" i="15"/>
  <c r="S105" i="15"/>
  <c r="J79" i="15"/>
  <c r="N79" i="15" s="1"/>
  <c r="J75" i="15"/>
  <c r="S107" i="15"/>
  <c r="S106" i="15"/>
  <c r="C85" i="15" l="1"/>
  <c r="C89" i="15" s="1"/>
  <c r="N75" i="15"/>
  <c r="M94" i="15" l="1"/>
  <c r="C94" i="15" l="1"/>
  <c r="M92" i="15"/>
  <c r="C93" i="15"/>
  <c r="M93" i="15" s="1"/>
  <c r="C98" i="15"/>
  <c r="C92" i="15"/>
  <c r="J100" i="15" l="1"/>
  <c r="I100" i="15"/>
  <c r="H100" i="15"/>
  <c r="C107" i="15"/>
  <c r="M107" i="15" s="1"/>
  <c r="C106" i="15"/>
  <c r="M106" i="15" s="1"/>
  <c r="C105" i="15"/>
  <c r="M105" i="15" s="1"/>
  <c r="C104" i="15"/>
  <c r="M104" i="15" s="1"/>
  <c r="M102" i="15"/>
  <c r="O102" i="15"/>
  <c r="M91" i="15"/>
  <c r="N90" i="15" s="1"/>
  <c r="M109" i="15"/>
  <c r="O107" i="15" l="1"/>
  <c r="O106" i="15"/>
  <c r="O105" i="15"/>
  <c r="O104" i="15"/>
  <c r="G128" i="15"/>
  <c r="I128" i="15" s="1"/>
  <c r="G126" i="15"/>
  <c r="I126" i="15" s="1"/>
  <c r="C91" i="15"/>
  <c r="G125" i="15"/>
  <c r="I125" i="15" s="1"/>
  <c r="C108" i="15"/>
  <c r="G127" i="15"/>
  <c r="I127" i="15" s="1"/>
  <c r="O109" i="15" l="1"/>
</calcChain>
</file>

<file path=xl/sharedStrings.xml><?xml version="1.0" encoding="utf-8"?>
<sst xmlns="http://schemas.openxmlformats.org/spreadsheetml/2006/main" count="43" uniqueCount="30">
  <si>
    <t>Franken</t>
  </si>
  <si>
    <t>Zelle:</t>
  </si>
  <si>
    <t>i.O.?</t>
  </si>
  <si>
    <t xml:space="preserve">Text u/ü 18 Mt. </t>
  </si>
  <si>
    <t>C37</t>
  </si>
  <si>
    <t>C38</t>
  </si>
  <si>
    <t>C39</t>
  </si>
  <si>
    <t>C40</t>
  </si>
  <si>
    <t>Berechnung Alter des Kindes</t>
  </si>
  <si>
    <t>Datum; Kind 1</t>
  </si>
  <si>
    <t>G-Datum in Zahl</t>
  </si>
  <si>
    <t>Alter in Zahl</t>
  </si>
  <si>
    <t>über 18 Monate</t>
  </si>
  <si>
    <t>Datum; Kind 2</t>
  </si>
  <si>
    <t>Datum; Kind3</t>
  </si>
  <si>
    <t>Datum; Kind4</t>
  </si>
  <si>
    <t>Total</t>
  </si>
  <si>
    <t>Vollkosten Kita bei Kindern ab 18 Monaten</t>
  </si>
  <si>
    <t>Vollkosten Kita bei Kindern unter 18 Monaten</t>
  </si>
  <si>
    <t>Massgebendes Einkommen in Franken</t>
  </si>
  <si>
    <t>Tag im Monat</t>
  </si>
  <si>
    <t>Die definitive Höhe der Betreuungszuschüsse kann von der Berechnung des Betreuungszuschussrechners abweichen, da nicht alle Faktoren miteinbezogen werden können, welche möglicherweise Einfluss auf die Berechnung haben. So haben beispielsweise finanzielle Beiträge von Dritten (z.B. Arbeitgeber) an die familienergänzende Kinderbetreuung Einfluss auf die Berechnung. Alle Angaben sind ohne Gewähr.</t>
  </si>
  <si>
    <t>Betreuungszuschussrechner</t>
  </si>
  <si>
    <t xml:space="preserve">1) Ab wann möchten Sie Betreuungszuschüsse beantragen? </t>
  </si>
  <si>
    <r>
      <rPr>
        <b/>
        <sz val="11"/>
        <rFont val="Arial"/>
        <family val="2"/>
      </rPr>
      <t xml:space="preserve">Für die Berechnung müssen </t>
    </r>
    <r>
      <rPr>
        <b/>
        <u/>
        <sz val="11"/>
        <rFont val="Arial"/>
        <family val="2"/>
      </rPr>
      <t>alle</t>
    </r>
    <r>
      <rPr>
        <b/>
        <sz val="11"/>
        <rFont val="Arial"/>
        <family val="2"/>
      </rPr>
      <t xml:space="preserve"> blauen Felder ausgefüllt sein.</t>
    </r>
    <r>
      <rPr>
        <sz val="11"/>
        <rFont val="Arial"/>
        <family val="2"/>
      </rPr>
      <t xml:space="preserve"> Gehen Sie wie folgt vor: 
1) Tragen Sie zuerst ein, ab wann Sie die Zuschüsse beantragen möchten. 
2) Beantworten Sie dann die Fragen im Bereich </t>
    </r>
    <r>
      <rPr>
        <b/>
        <sz val="11"/>
        <rFont val="Arial"/>
        <family val="2"/>
      </rPr>
      <t>Zivilstand.</t>
    </r>
    <r>
      <rPr>
        <sz val="11"/>
        <rFont val="Arial"/>
        <family val="2"/>
      </rPr>
      <t xml:space="preserve"> 
3) Anschliessend füllen Sie alle Felder im Bereich </t>
    </r>
    <r>
      <rPr>
        <b/>
        <sz val="11"/>
        <rFont val="Arial"/>
        <family val="2"/>
      </rPr>
      <t>Haushalt</t>
    </r>
    <r>
      <rPr>
        <sz val="11"/>
        <rFont val="Arial"/>
        <family val="2"/>
      </rPr>
      <t xml:space="preserve"> aus. Für zusätzliche Informationen zu den Feldern Einkommen und Vermögen klicken Sie in das blaue Feld.
4) Als nächstes geben Sie die Informationen zu Ihren </t>
    </r>
    <r>
      <rPr>
        <b/>
        <sz val="11"/>
        <rFont val="Arial"/>
        <family val="2"/>
      </rPr>
      <t>Kindern</t>
    </r>
    <r>
      <rPr>
        <sz val="11"/>
        <rFont val="Arial"/>
        <family val="2"/>
      </rPr>
      <t xml:space="preserve"> ein.
5) Zum Schluss müssen Sie noch die Tarife Ihrer </t>
    </r>
    <r>
      <rPr>
        <b/>
        <sz val="11"/>
        <rFont val="Arial"/>
        <family val="2"/>
      </rPr>
      <t>Kita</t>
    </r>
    <r>
      <rPr>
        <sz val="11"/>
        <rFont val="Arial"/>
        <family val="2"/>
      </rPr>
      <t xml:space="preserve"> eingeben.
Sobald Sie alle blauen Felder ausgefüllt haben, werden die Betreuungszuschüsse berechnet. Diese finden Sie am </t>
    </r>
    <r>
      <rPr>
        <u/>
        <sz val="11"/>
        <rFont val="Arial"/>
        <family val="2"/>
      </rPr>
      <t>Ende</t>
    </r>
    <r>
      <rPr>
        <sz val="11"/>
        <rFont val="Arial"/>
        <family val="2"/>
      </rPr>
      <t xml:space="preserve"> der Excel-Liste.</t>
    </r>
  </si>
  <si>
    <t>Ganzer Tag</t>
  </si>
  <si>
    <t>Halbtag mit ME</t>
  </si>
  <si>
    <t>Halbtag ohne ME</t>
  </si>
  <si>
    <t>Zuschüsse Kinder ab 18 Monaten</t>
  </si>
  <si>
    <t>Zuschüsse Kinder unter 18 Monaten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</si>
</sst>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quot;CHF&quot;\ * #,##0.00_ ;_ &quot;CHF&quot;\ * \-#,##0.00_ ;_ &quot;CHF&quot;\ * &quot;-&quot;??_ ;_ @_ "/>
    <numFmt numFmtId="43" formatCode="_ * #,##0.00_ ;_ * \-#,##0.00_ ;_ * &quot;-&quot;??_ ;_ @_ "/>
    <numFmt numFmtId="164" formatCode="0.0%"/>
    <numFmt numFmtId="165" formatCode="0.000000%"/>
    <numFmt numFmtId="166" formatCode="_ [$Fr.-807]\ * #,##0.00_ ;_ [$Fr.-807]\ * \-#,##0.00_ ;_ [$Fr.-807]\ * &quot;-&quot;??_ ;_ @_ "/>
    <numFmt numFmtId="167" formatCode="0.000"/>
    <numFmt numFmtId="168" formatCode="0_ ;\-0\ "/>
    <numFmt numFmtId="169" formatCode="_ [$CHF-1407]\ * #,##0.00_ ;_ [$CHF-1407]\ * \-#,##0.00_ ;_ [$CHF-1407]\ * &quot;-&quot;??_ ;_ @_ "/>
    <numFmt numFmtId="170" formatCode="#,##0.0"/>
  </numFmts>
  <fonts count="35" x14ac:knownFonts="1">
    <font>
      <sz val="11"/>
      <color theme="1"/>
      <name val="Calibri"/>
      <family val="2"/>
      <scheme val="minor"/>
    </font>
    <font>
      <sz val="10"/>
      <name val="Arial"/>
      <family val="2"/>
    </font>
    <font>
      <sz val="10"/>
      <color theme="1"/>
      <name val="Arial"/>
      <family val="2"/>
    </font>
    <font>
      <b/>
      <sz val="10"/>
      <name val="Arial"/>
      <family val="2"/>
    </font>
    <font>
      <sz val="11"/>
      <color theme="1"/>
      <name val="Arial"/>
      <family val="2"/>
    </font>
    <font>
      <sz val="11"/>
      <color theme="1"/>
      <name val="Calibri"/>
      <family val="2"/>
      <scheme val="minor"/>
    </font>
    <font>
      <b/>
      <sz val="10"/>
      <color theme="1"/>
      <name val="Arial"/>
      <family val="2"/>
    </font>
    <font>
      <i/>
      <sz val="10"/>
      <color theme="1"/>
      <name val="Arial"/>
      <family val="2"/>
    </font>
    <font>
      <sz val="12"/>
      <name val="Times New Roman"/>
      <family val="1"/>
    </font>
    <font>
      <b/>
      <sz val="18"/>
      <name val="Arial"/>
      <family val="2"/>
    </font>
    <font>
      <sz val="20"/>
      <name val="Arial"/>
      <family val="2"/>
    </font>
    <font>
      <b/>
      <i/>
      <sz val="10"/>
      <color theme="1"/>
      <name val="Arial"/>
      <family val="2"/>
    </font>
    <font>
      <i/>
      <sz val="8"/>
      <color theme="1" tint="0.499984740745262"/>
      <name val="Arial"/>
      <family val="2"/>
    </font>
    <font>
      <u/>
      <sz val="10"/>
      <color theme="1"/>
      <name val="Arial"/>
      <family val="2"/>
    </font>
    <font>
      <sz val="8"/>
      <color theme="1"/>
      <name val="Arial"/>
      <family val="2"/>
    </font>
    <font>
      <i/>
      <sz val="8"/>
      <color theme="1"/>
      <name val="Arial"/>
      <family val="2"/>
    </font>
    <font>
      <b/>
      <i/>
      <sz val="8"/>
      <color theme="1"/>
      <name val="Arial"/>
      <family val="2"/>
    </font>
    <font>
      <b/>
      <i/>
      <sz val="9"/>
      <color rgb="FFC00000"/>
      <name val="Arial"/>
      <family val="2"/>
    </font>
    <font>
      <b/>
      <i/>
      <sz val="10"/>
      <color theme="9" tint="-0.499984740745262"/>
      <name val="Arial"/>
      <family val="2"/>
    </font>
    <font>
      <b/>
      <sz val="12"/>
      <color theme="1"/>
      <name val="Arial"/>
      <family val="2"/>
    </font>
    <font>
      <sz val="10"/>
      <color theme="9" tint="-0.499984740745262"/>
      <name val="Arial"/>
      <family val="2"/>
    </font>
    <font>
      <b/>
      <i/>
      <sz val="8"/>
      <color rgb="FFFF0000"/>
      <name val="Arial"/>
      <family val="2"/>
    </font>
    <font>
      <b/>
      <sz val="8"/>
      <color theme="1"/>
      <name val="Arial"/>
      <family val="2"/>
    </font>
    <font>
      <i/>
      <sz val="8"/>
      <name val="Arial"/>
      <family val="2"/>
    </font>
    <font>
      <b/>
      <i/>
      <sz val="10"/>
      <name val="Arial"/>
      <family val="2"/>
    </font>
    <font>
      <sz val="11"/>
      <name val="Arial"/>
      <family val="2"/>
    </font>
    <font>
      <b/>
      <sz val="11"/>
      <name val="Arial"/>
      <family val="2"/>
    </font>
    <font>
      <b/>
      <u/>
      <sz val="11"/>
      <name val="Arial"/>
      <family val="2"/>
    </font>
    <font>
      <b/>
      <i/>
      <sz val="9"/>
      <color rgb="FFFF0000"/>
      <name val="Arial"/>
      <family val="2"/>
    </font>
    <font>
      <b/>
      <sz val="8"/>
      <color rgb="FFFF0000"/>
      <name val="Arial"/>
      <family val="2"/>
    </font>
    <font>
      <sz val="7"/>
      <color rgb="FFFF0000"/>
      <name val="Arial"/>
      <family val="2"/>
    </font>
    <font>
      <sz val="8"/>
      <color rgb="FFFF0000"/>
      <name val="Arial"/>
      <family val="2"/>
    </font>
    <font>
      <u/>
      <sz val="11"/>
      <name val="Arial"/>
      <family val="2"/>
    </font>
    <font>
      <sz val="10"/>
      <color theme="0"/>
      <name val="Arial"/>
      <family val="2"/>
    </font>
    <font>
      <b/>
      <sz val="12"/>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right style="thin">
        <color indexed="64"/>
      </right>
      <top style="thin">
        <color indexed="64"/>
      </top>
      <bottom/>
      <diagonal/>
    </border>
    <border>
      <left/>
      <right/>
      <top style="thin">
        <color indexed="64"/>
      </top>
      <bottom style="medium">
        <color indexed="64"/>
      </bottom>
      <diagonal/>
    </border>
    <border>
      <left/>
      <right/>
      <top/>
      <bottom style="medium">
        <color indexed="64"/>
      </bottom>
      <diagonal/>
    </border>
    <border>
      <left/>
      <right/>
      <top/>
      <bottom style="thin">
        <color theme="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style="medium">
        <color rgb="FFFF0000"/>
      </left>
      <right style="medium">
        <color rgb="FFFF0000"/>
      </right>
      <top/>
      <bottom style="medium">
        <color rgb="FFFF0000"/>
      </bottom>
      <diagonal/>
    </border>
    <border>
      <left/>
      <right/>
      <top style="medium">
        <color rgb="FFFF0000"/>
      </top>
      <bottom style="medium">
        <color rgb="FFFF0000"/>
      </bottom>
      <diagonal/>
    </border>
    <border>
      <left/>
      <right/>
      <top/>
      <bottom style="medium">
        <color rgb="FFFF0000"/>
      </bottom>
      <diagonal/>
    </border>
    <border>
      <left style="medium">
        <color indexed="10"/>
      </left>
      <right/>
      <top style="medium">
        <color indexed="10"/>
      </top>
      <bottom style="medium">
        <color indexed="10"/>
      </bottom>
      <diagonal/>
    </border>
    <border>
      <left/>
      <right style="medium">
        <color rgb="FFFF0000"/>
      </right>
      <top style="medium">
        <color rgb="FFFF0000"/>
      </top>
      <bottom style="medium">
        <color rgb="FFFF0000"/>
      </bottom>
      <diagonal/>
    </border>
  </borders>
  <cellStyleXfs count="7">
    <xf numFmtId="0" fontId="0"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4" fillId="0" borderId="0"/>
    <xf numFmtId="0" fontId="8" fillId="0" borderId="0"/>
    <xf numFmtId="0" fontId="2" fillId="0" borderId="0"/>
  </cellStyleXfs>
  <cellXfs count="186">
    <xf numFmtId="0" fontId="0" fillId="0" borderId="0" xfId="0"/>
    <xf numFmtId="0" fontId="2" fillId="2" borderId="0" xfId="0" applyFont="1" applyFill="1" applyBorder="1" applyAlignment="1">
      <alignment vertical="center"/>
    </xf>
    <xf numFmtId="0" fontId="2" fillId="0" borderId="0" xfId="0" applyFont="1" applyAlignment="1">
      <alignment vertical="center"/>
    </xf>
    <xf numFmtId="1" fontId="1" fillId="0" borderId="0" xfId="0" applyNumberFormat="1" applyFont="1" applyFill="1" applyAlignment="1">
      <alignment vertical="center"/>
    </xf>
    <xf numFmtId="0" fontId="0" fillId="0" borderId="0" xfId="0" applyFill="1" applyAlignment="1">
      <alignment vertical="center"/>
    </xf>
    <xf numFmtId="0" fontId="2" fillId="2" borderId="0" xfId="0" applyFont="1" applyFill="1" applyAlignment="1">
      <alignment horizontal="left" vertical="center"/>
    </xf>
    <xf numFmtId="0" fontId="2" fillId="2" borderId="0" xfId="0" applyFont="1" applyFill="1" applyAlignment="1">
      <alignment vertical="center"/>
    </xf>
    <xf numFmtId="164" fontId="2" fillId="3" borderId="0" xfId="2" applyNumberFormat="1" applyFont="1" applyFill="1" applyBorder="1" applyAlignment="1">
      <alignment vertical="center"/>
    </xf>
    <xf numFmtId="0" fontId="2" fillId="3" borderId="0" xfId="0" applyFont="1" applyFill="1" applyAlignment="1">
      <alignment vertical="center"/>
    </xf>
    <xf numFmtId="0" fontId="0" fillId="3" borderId="0" xfId="0" applyFont="1" applyFill="1" applyAlignment="1">
      <alignment vertical="center"/>
    </xf>
    <xf numFmtId="0" fontId="0" fillId="3" borderId="0" xfId="0" applyFont="1" applyFill="1" applyBorder="1" applyAlignment="1">
      <alignment horizontal="left" vertical="center"/>
    </xf>
    <xf numFmtId="165" fontId="1" fillId="0" borderId="0" xfId="2" applyNumberFormat="1" applyFont="1" applyFill="1" applyAlignment="1">
      <alignment vertical="center"/>
    </xf>
    <xf numFmtId="167" fontId="1" fillId="0" borderId="0" xfId="0" applyNumberFormat="1" applyFont="1" applyFill="1" applyAlignment="1">
      <alignment vertical="center"/>
    </xf>
    <xf numFmtId="0" fontId="2" fillId="0" borderId="5" xfId="6" applyBorder="1"/>
    <xf numFmtId="0" fontId="2" fillId="0" borderId="0" xfId="6"/>
    <xf numFmtId="0" fontId="2" fillId="0" borderId="4" xfId="6" applyBorder="1"/>
    <xf numFmtId="0" fontId="2" fillId="0" borderId="4" xfId="6" applyBorder="1" applyAlignment="1">
      <alignment wrapText="1"/>
    </xf>
    <xf numFmtId="14" fontId="2" fillId="0" borderId="4" xfId="6" applyNumberFormat="1" applyBorder="1"/>
    <xf numFmtId="2" fontId="2" fillId="0" borderId="5" xfId="6" applyNumberFormat="1" applyBorder="1"/>
    <xf numFmtId="2" fontId="2" fillId="0" borderId="4" xfId="6" applyNumberFormat="1" applyBorder="1"/>
    <xf numFmtId="0" fontId="2" fillId="0" borderId="7" xfId="6" applyBorder="1"/>
    <xf numFmtId="0" fontId="2" fillId="0" borderId="6" xfId="6" applyBorder="1"/>
    <xf numFmtId="0" fontId="2" fillId="3" borderId="0" xfId="6" applyFill="1"/>
    <xf numFmtId="2" fontId="2" fillId="2" borderId="0" xfId="0" applyNumberFormat="1" applyFont="1" applyFill="1" applyAlignment="1">
      <alignment horizontal="right" vertical="center"/>
    </xf>
    <xf numFmtId="2" fontId="2" fillId="3" borderId="0" xfId="6" applyNumberFormat="1" applyFill="1" applyAlignment="1">
      <alignment horizontal="right"/>
    </xf>
    <xf numFmtId="0" fontId="2" fillId="3" borderId="0" xfId="0" applyFont="1" applyFill="1" applyBorder="1" applyAlignment="1">
      <alignment horizontal="left" vertical="center"/>
    </xf>
    <xf numFmtId="0" fontId="2" fillId="3" borderId="0" xfId="0" applyFont="1" applyFill="1" applyBorder="1" applyAlignment="1">
      <alignment vertical="center"/>
    </xf>
    <xf numFmtId="2" fontId="2" fillId="3" borderId="0" xfId="0" applyNumberFormat="1" applyFont="1" applyFill="1" applyBorder="1" applyAlignment="1">
      <alignment vertical="center"/>
    </xf>
    <xf numFmtId="2" fontId="2" fillId="0" borderId="0" xfId="6" applyNumberFormat="1"/>
    <xf numFmtId="0" fontId="2" fillId="0" borderId="0" xfId="6" applyBorder="1"/>
    <xf numFmtId="2" fontId="2" fillId="0" borderId="0" xfId="6" applyNumberFormat="1" applyBorder="1"/>
    <xf numFmtId="0" fontId="2" fillId="0" borderId="1" xfId="6" applyBorder="1"/>
    <xf numFmtId="14" fontId="2" fillId="0" borderId="0" xfId="6" applyNumberFormat="1"/>
    <xf numFmtId="0" fontId="2" fillId="5" borderId="0" xfId="6" applyFill="1" applyProtection="1"/>
    <xf numFmtId="0" fontId="2" fillId="5" borderId="0" xfId="6" applyFont="1" applyFill="1" applyBorder="1" applyProtection="1"/>
    <xf numFmtId="0" fontId="2" fillId="5" borderId="0" xfId="6" applyFont="1" applyFill="1" applyProtection="1"/>
    <xf numFmtId="0" fontId="2" fillId="5" borderId="2" xfId="6" applyFont="1" applyFill="1" applyBorder="1" applyProtection="1"/>
    <xf numFmtId="0" fontId="2" fillId="5" borderId="3" xfId="6" applyFont="1" applyFill="1" applyBorder="1" applyProtection="1"/>
    <xf numFmtId="0" fontId="2" fillId="5" borderId="15" xfId="6" applyFont="1" applyFill="1" applyBorder="1" applyProtection="1"/>
    <xf numFmtId="0" fontId="6" fillId="5" borderId="0" xfId="6" applyFont="1" applyFill="1" applyBorder="1" applyProtection="1"/>
    <xf numFmtId="0" fontId="2" fillId="5" borderId="4" xfId="6" applyFont="1" applyFill="1" applyBorder="1" applyProtection="1"/>
    <xf numFmtId="0" fontId="2" fillId="5" borderId="5" xfId="6" applyFont="1" applyFill="1" applyBorder="1" applyAlignment="1" applyProtection="1">
      <alignment horizontal="center"/>
    </xf>
    <xf numFmtId="0" fontId="2" fillId="5" borderId="5" xfId="6" applyFont="1" applyFill="1" applyBorder="1" applyProtection="1"/>
    <xf numFmtId="0" fontId="2" fillId="5" borderId="6" xfId="6" applyFont="1" applyFill="1" applyBorder="1" applyProtection="1"/>
    <xf numFmtId="0" fontId="2" fillId="5" borderId="1" xfId="6" applyFont="1" applyFill="1" applyBorder="1" applyProtection="1"/>
    <xf numFmtId="0" fontId="2" fillId="5" borderId="7" xfId="6" applyFont="1" applyFill="1" applyBorder="1" applyProtection="1"/>
    <xf numFmtId="0" fontId="2" fillId="7" borderId="8" xfId="6" applyFill="1" applyBorder="1" applyProtection="1"/>
    <xf numFmtId="0" fontId="2" fillId="7" borderId="0" xfId="6" applyFill="1" applyProtection="1"/>
    <xf numFmtId="0" fontId="9" fillId="7" borderId="9" xfId="6" applyFont="1" applyFill="1" applyBorder="1" applyProtection="1"/>
    <xf numFmtId="0" fontId="2" fillId="7" borderId="0" xfId="6" applyFill="1" applyBorder="1" applyProtection="1"/>
    <xf numFmtId="0" fontId="10" fillId="7" borderId="9" xfId="6" applyFont="1" applyFill="1" applyBorder="1" applyProtection="1"/>
    <xf numFmtId="0" fontId="2" fillId="7" borderId="10" xfId="6" applyFill="1" applyBorder="1" applyProtection="1"/>
    <xf numFmtId="0" fontId="2" fillId="7" borderId="11" xfId="6" applyFill="1" applyBorder="1" applyProtection="1"/>
    <xf numFmtId="0" fontId="10" fillId="7" borderId="12" xfId="6" applyFont="1" applyFill="1" applyBorder="1" applyProtection="1"/>
    <xf numFmtId="0" fontId="0" fillId="7" borderId="0" xfId="0" applyFill="1" applyBorder="1" applyProtection="1"/>
    <xf numFmtId="0" fontId="12" fillId="7" borderId="0" xfId="0" applyFont="1" applyFill="1" applyBorder="1" applyProtection="1"/>
    <xf numFmtId="49" fontId="2" fillId="7" borderId="13" xfId="6" applyNumberFormat="1" applyFill="1" applyBorder="1" applyProtection="1"/>
    <xf numFmtId="0" fontId="11" fillId="7" borderId="0" xfId="6" applyFont="1" applyFill="1" applyBorder="1" applyProtection="1"/>
    <xf numFmtId="0" fontId="2" fillId="7" borderId="1" xfId="6" applyFill="1" applyBorder="1" applyProtection="1"/>
    <xf numFmtId="0" fontId="2" fillId="7" borderId="13" xfId="6" applyFill="1" applyBorder="1" applyProtection="1"/>
    <xf numFmtId="0" fontId="2" fillId="7" borderId="3" xfId="6" applyFill="1" applyBorder="1" applyProtection="1"/>
    <xf numFmtId="0" fontId="7" fillId="7" borderId="0" xfId="6" applyFont="1" applyFill="1" applyBorder="1" applyProtection="1"/>
    <xf numFmtId="0" fontId="15" fillId="7" borderId="0" xfId="6" applyFont="1" applyFill="1" applyBorder="1" applyProtection="1"/>
    <xf numFmtId="0" fontId="2" fillId="7" borderId="0" xfId="6" applyFill="1" applyBorder="1" applyAlignment="1" applyProtection="1">
      <alignment wrapText="1"/>
    </xf>
    <xf numFmtId="49" fontId="2" fillId="7" borderId="0" xfId="6" applyNumberFormat="1" applyFill="1" applyBorder="1" applyProtection="1"/>
    <xf numFmtId="0" fontId="13" fillId="7" borderId="14" xfId="6" applyFont="1" applyFill="1" applyBorder="1" applyProtection="1"/>
    <xf numFmtId="0" fontId="14" fillId="7" borderId="0" xfId="6" applyFont="1" applyFill="1" applyProtection="1"/>
    <xf numFmtId="0" fontId="2" fillId="7" borderId="0" xfId="6" applyFont="1" applyFill="1" applyBorder="1" applyProtection="1"/>
    <xf numFmtId="166" fontId="2" fillId="7" borderId="0" xfId="6" applyNumberFormat="1" applyFont="1" applyFill="1" applyBorder="1" applyAlignment="1" applyProtection="1">
      <alignment horizontal="right"/>
    </xf>
    <xf numFmtId="0" fontId="17" fillId="7" borderId="0" xfId="6" applyFont="1" applyFill="1" applyBorder="1" applyAlignment="1" applyProtection="1">
      <alignment horizontal="left" vertical="top" wrapText="1"/>
    </xf>
    <xf numFmtId="0" fontId="28" fillId="7" borderId="0" xfId="6" applyFont="1" applyFill="1" applyBorder="1" applyAlignment="1" applyProtection="1">
      <alignment horizontal="left" vertical="top" wrapText="1"/>
    </xf>
    <xf numFmtId="0" fontId="2" fillId="7" borderId="0" xfId="6" applyFill="1" applyBorder="1" applyAlignment="1" applyProtection="1"/>
    <xf numFmtId="0" fontId="17" fillId="7" borderId="0" xfId="6" applyFont="1" applyFill="1" applyBorder="1" applyAlignment="1" applyProtection="1">
      <alignment horizontal="left" wrapText="1"/>
    </xf>
    <xf numFmtId="0" fontId="14" fillId="7" borderId="0" xfId="6" applyFont="1" applyFill="1" applyAlignment="1" applyProtection="1"/>
    <xf numFmtId="0" fontId="2" fillId="7" borderId="0" xfId="6" applyFill="1" applyAlignment="1" applyProtection="1"/>
    <xf numFmtId="0" fontId="18" fillId="7" borderId="0" xfId="6" applyFont="1" applyFill="1" applyBorder="1" applyAlignment="1" applyProtection="1">
      <alignment horizontal="left" vertical="top"/>
    </xf>
    <xf numFmtId="0" fontId="11" fillId="7" borderId="0" xfId="6" applyFont="1" applyFill="1" applyBorder="1" applyAlignment="1" applyProtection="1"/>
    <xf numFmtId="0" fontId="19" fillId="7" borderId="0" xfId="6" applyFont="1" applyFill="1" applyBorder="1" applyAlignment="1" applyProtection="1"/>
    <xf numFmtId="0" fontId="20" fillId="7" borderId="0" xfId="6" applyFont="1" applyFill="1" applyBorder="1" applyProtection="1"/>
    <xf numFmtId="0" fontId="15" fillId="7" borderId="0" xfId="6" applyFont="1" applyFill="1" applyBorder="1" applyAlignment="1" applyProtection="1">
      <alignment wrapText="1"/>
    </xf>
    <xf numFmtId="0" fontId="23" fillId="7" borderId="0" xfId="6" applyFont="1" applyFill="1" applyBorder="1" applyAlignment="1" applyProtection="1"/>
    <xf numFmtId="0" fontId="1" fillId="7" borderId="0" xfId="6" applyFont="1" applyFill="1" applyBorder="1" applyProtection="1"/>
    <xf numFmtId="169" fontId="3" fillId="7" borderId="0" xfId="6" applyNumberFormat="1" applyFont="1" applyFill="1" applyBorder="1" applyAlignment="1" applyProtection="1"/>
    <xf numFmtId="0" fontId="2" fillId="7" borderId="0" xfId="6" applyFill="1" applyBorder="1" applyAlignment="1" applyProtection="1">
      <alignment horizontal="right"/>
    </xf>
    <xf numFmtId="0" fontId="2" fillId="7" borderId="1" xfId="6" applyFill="1" applyBorder="1" applyAlignment="1" applyProtection="1">
      <alignment horizontal="left"/>
    </xf>
    <xf numFmtId="0" fontId="15" fillId="7" borderId="1" xfId="6" applyFont="1" applyFill="1" applyBorder="1" applyProtection="1"/>
    <xf numFmtId="0" fontId="2" fillId="7" borderId="1" xfId="6" applyFill="1" applyBorder="1" applyAlignment="1" applyProtection="1">
      <alignment horizontal="right"/>
    </xf>
    <xf numFmtId="2" fontId="2" fillId="7" borderId="1" xfId="6" applyNumberFormat="1" applyFont="1" applyFill="1" applyBorder="1" applyProtection="1"/>
    <xf numFmtId="169" fontId="3" fillId="7" borderId="0" xfId="6" applyNumberFormat="1" applyFont="1" applyFill="1" applyBorder="1" applyAlignment="1" applyProtection="1">
      <alignment horizontal="center"/>
    </xf>
    <xf numFmtId="0" fontId="24" fillId="7" borderId="17" xfId="6" applyFont="1" applyFill="1" applyBorder="1" applyProtection="1"/>
    <xf numFmtId="0" fontId="2" fillId="7" borderId="17" xfId="6" applyFill="1" applyBorder="1" applyProtection="1"/>
    <xf numFmtId="0" fontId="2" fillId="7" borderId="16" xfId="6" applyFill="1" applyBorder="1" applyProtection="1"/>
    <xf numFmtId="169" fontId="3" fillId="7" borderId="16" xfId="6" applyNumberFormat="1" applyFont="1" applyFill="1" applyBorder="1" applyAlignment="1" applyProtection="1"/>
    <xf numFmtId="0" fontId="2" fillId="7" borderId="0" xfId="6" applyFont="1" applyFill="1" applyProtection="1"/>
    <xf numFmtId="0" fontId="2" fillId="7" borderId="0" xfId="6" applyFont="1" applyFill="1" applyBorder="1" applyAlignment="1" applyProtection="1">
      <alignment horizontal="center"/>
    </xf>
    <xf numFmtId="11" fontId="2" fillId="7" borderId="0" xfId="6" applyNumberFormat="1" applyFill="1" applyProtection="1"/>
    <xf numFmtId="11" fontId="2" fillId="7" borderId="0" xfId="6" applyNumberFormat="1" applyFont="1" applyFill="1" applyProtection="1"/>
    <xf numFmtId="0" fontId="2" fillId="7" borderId="0" xfId="6" applyFill="1" applyBorder="1" applyProtection="1">
      <protection locked="0"/>
    </xf>
    <xf numFmtId="0" fontId="2" fillId="7" borderId="0" xfId="6" applyFill="1" applyBorder="1" applyAlignment="1" applyProtection="1">
      <alignment horizontal="center"/>
    </xf>
    <xf numFmtId="0" fontId="26" fillId="7" borderId="0" xfId="6" applyFont="1" applyFill="1" applyBorder="1" applyAlignment="1" applyProtection="1">
      <alignment horizontal="left" vertical="top" wrapText="1"/>
    </xf>
    <xf numFmtId="0" fontId="10" fillId="7" borderId="0" xfId="6" applyFont="1" applyFill="1" applyBorder="1" applyProtection="1"/>
    <xf numFmtId="169" fontId="3" fillId="3" borderId="0" xfId="6" applyNumberFormat="1" applyFont="1" applyFill="1" applyBorder="1" applyAlignment="1" applyProtection="1">
      <alignment horizontal="center"/>
    </xf>
    <xf numFmtId="0" fontId="2" fillId="7" borderId="0" xfId="6" applyFill="1" applyBorder="1" applyAlignment="1" applyProtection="1">
      <protection locked="0"/>
    </xf>
    <xf numFmtId="0" fontId="2" fillId="0" borderId="0" xfId="6" applyFill="1" applyBorder="1" applyProtection="1"/>
    <xf numFmtId="0" fontId="29" fillId="7" borderId="0" xfId="6" applyFont="1" applyFill="1" applyBorder="1" applyAlignment="1" applyProtection="1"/>
    <xf numFmtId="0" fontId="25" fillId="7" borderId="0" xfId="6" applyFont="1" applyFill="1" applyBorder="1" applyAlignment="1" applyProtection="1">
      <alignment vertical="top" wrapText="1"/>
    </xf>
    <xf numFmtId="0" fontId="25" fillId="7" borderId="0" xfId="6" applyFont="1" applyFill="1" applyBorder="1" applyAlignment="1" applyProtection="1">
      <alignment vertical="top"/>
    </xf>
    <xf numFmtId="0" fontId="29" fillId="7" borderId="0" xfId="6" applyFont="1" applyFill="1" applyBorder="1" applyAlignment="1" applyProtection="1">
      <alignment wrapText="1"/>
    </xf>
    <xf numFmtId="0" fontId="30" fillId="7" borderId="0" xfId="6" applyNumberFormat="1" applyFont="1" applyFill="1" applyBorder="1" applyAlignment="1" applyProtection="1">
      <alignment vertical="top" wrapText="1"/>
    </xf>
    <xf numFmtId="0" fontId="31" fillId="7" borderId="0" xfId="6" applyFont="1" applyFill="1" applyBorder="1" applyProtection="1"/>
    <xf numFmtId="14" fontId="2" fillId="7" borderId="0" xfId="6" applyNumberFormat="1" applyFill="1" applyBorder="1" applyProtection="1"/>
    <xf numFmtId="0" fontId="2" fillId="7" borderId="18" xfId="6" applyFill="1" applyBorder="1" applyProtection="1"/>
    <xf numFmtId="2" fontId="2" fillId="7" borderId="0" xfId="6" applyNumberFormat="1" applyFill="1" applyBorder="1" applyAlignment="1" applyProtection="1">
      <alignment horizontal="right"/>
    </xf>
    <xf numFmtId="2" fontId="6" fillId="7" borderId="16" xfId="6" applyNumberFormat="1" applyFont="1" applyFill="1" applyBorder="1" applyProtection="1"/>
    <xf numFmtId="169" fontId="6" fillId="7" borderId="1" xfId="6" applyNumberFormat="1" applyFont="1" applyFill="1" applyBorder="1" applyProtection="1"/>
    <xf numFmtId="44" fontId="6" fillId="7" borderId="0" xfId="6" applyNumberFormat="1" applyFont="1" applyFill="1" applyBorder="1" applyProtection="1"/>
    <xf numFmtId="44" fontId="6" fillId="7" borderId="0" xfId="6" applyNumberFormat="1" applyFont="1" applyFill="1" applyBorder="1" applyAlignment="1" applyProtection="1">
      <alignment horizontal="right"/>
    </xf>
    <xf numFmtId="0" fontId="22" fillId="7" borderId="0" xfId="6" applyFont="1" applyFill="1" applyBorder="1" applyAlignment="1" applyProtection="1">
      <alignment wrapText="1"/>
    </xf>
    <xf numFmtId="0" fontId="29" fillId="7" borderId="0" xfId="0" applyFont="1" applyFill="1" applyBorder="1" applyProtection="1"/>
    <xf numFmtId="0" fontId="2" fillId="7" borderId="0" xfId="6" applyNumberFormat="1" applyFill="1" applyBorder="1" applyProtection="1">
      <protection locked="0"/>
    </xf>
    <xf numFmtId="14" fontId="2" fillId="7" borderId="0" xfId="6" applyNumberFormat="1" applyFill="1" applyBorder="1" applyAlignment="1" applyProtection="1">
      <alignment horizontal="center"/>
    </xf>
    <xf numFmtId="168" fontId="2" fillId="7" borderId="0" xfId="3" applyNumberFormat="1" applyFont="1" applyFill="1" applyBorder="1" applyAlignment="1" applyProtection="1"/>
    <xf numFmtId="3" fontId="2" fillId="7" borderId="0" xfId="6" applyNumberFormat="1" applyFill="1" applyBorder="1" applyAlignment="1" applyProtection="1">
      <alignment horizontal="center"/>
    </xf>
    <xf numFmtId="3" fontId="2" fillId="7" borderId="0" xfId="6" applyNumberFormat="1" applyFill="1" applyBorder="1" applyAlignment="1" applyProtection="1"/>
    <xf numFmtId="0" fontId="13" fillId="7" borderId="0" xfId="6" applyFont="1" applyFill="1" applyBorder="1" applyProtection="1"/>
    <xf numFmtId="0" fontId="2" fillId="7" borderId="0" xfId="6" applyNumberFormat="1" applyFill="1" applyBorder="1" applyAlignment="1" applyProtection="1">
      <protection locked="0"/>
    </xf>
    <xf numFmtId="0" fontId="2" fillId="7" borderId="0" xfId="3" applyNumberFormat="1" applyFont="1" applyFill="1" applyBorder="1" applyAlignment="1" applyProtection="1">
      <protection locked="0"/>
    </xf>
    <xf numFmtId="0" fontId="2" fillId="7" borderId="0" xfId="6" applyFill="1" applyBorder="1" applyAlignment="1" applyProtection="1">
      <alignment vertical="center" wrapText="1"/>
    </xf>
    <xf numFmtId="0" fontId="2" fillId="0" borderId="0" xfId="6" applyFill="1" applyBorder="1" applyAlignment="1" applyProtection="1">
      <alignment horizontal="center" vertical="center"/>
      <protection locked="0"/>
    </xf>
    <xf numFmtId="0" fontId="33" fillId="7" borderId="0" xfId="6" applyFont="1" applyFill="1" applyBorder="1" applyProtection="1"/>
    <xf numFmtId="2" fontId="2" fillId="3" borderId="0" xfId="0" applyNumberFormat="1" applyFont="1" applyFill="1" applyBorder="1" applyAlignment="1" applyProtection="1">
      <alignment vertical="center"/>
      <protection locked="0"/>
    </xf>
    <xf numFmtId="0" fontId="34" fillId="7" borderId="0" xfId="6" applyFont="1" applyFill="1" applyBorder="1" applyAlignment="1" applyProtection="1"/>
    <xf numFmtId="0" fontId="23" fillId="7" borderId="0" xfId="6" applyFont="1" applyFill="1" applyBorder="1" applyAlignment="1" applyProtection="1">
      <alignment wrapText="1"/>
    </xf>
    <xf numFmtId="0" fontId="1" fillId="7" borderId="0" xfId="6" applyFont="1" applyFill="1" applyProtection="1"/>
    <xf numFmtId="0" fontId="1" fillId="7" borderId="0" xfId="6" applyFont="1" applyFill="1" applyBorder="1" applyAlignment="1" applyProtection="1">
      <alignment horizontal="right"/>
    </xf>
    <xf numFmtId="44" fontId="1" fillId="7" borderId="0" xfId="6" applyNumberFormat="1" applyFont="1" applyFill="1" applyBorder="1" applyAlignment="1" applyProtection="1">
      <alignment horizontal="right"/>
    </xf>
    <xf numFmtId="0" fontId="2" fillId="7" borderId="0" xfId="6" applyFill="1" applyBorder="1" applyAlignment="1" applyProtection="1">
      <alignment horizontal="left"/>
    </xf>
    <xf numFmtId="0" fontId="2" fillId="7" borderId="0" xfId="6" applyFill="1" applyBorder="1" applyAlignment="1" applyProtection="1">
      <alignment horizontal="center" wrapText="1"/>
    </xf>
    <xf numFmtId="0" fontId="15" fillId="3" borderId="0" xfId="6" applyFont="1" applyFill="1" applyBorder="1" applyAlignment="1" applyProtection="1">
      <alignment horizontal="left" vertical="center" wrapText="1"/>
    </xf>
    <xf numFmtId="0" fontId="2" fillId="7" borderId="0" xfId="6" applyFont="1" applyFill="1" applyBorder="1" applyAlignment="1" applyProtection="1">
      <alignment horizontal="left"/>
    </xf>
    <xf numFmtId="169" fontId="3" fillId="3" borderId="16" xfId="6" applyNumberFormat="1" applyFont="1" applyFill="1" applyBorder="1" applyAlignment="1" applyProtection="1">
      <alignment horizontal="center"/>
    </xf>
    <xf numFmtId="2" fontId="2" fillId="4" borderId="19" xfId="0" applyNumberFormat="1" applyFont="1" applyFill="1" applyBorder="1" applyAlignment="1">
      <alignment vertical="center"/>
    </xf>
    <xf numFmtId="2" fontId="2" fillId="4" borderId="21" xfId="2" applyNumberFormat="1" applyFont="1" applyFill="1" applyBorder="1" applyAlignment="1">
      <alignment vertical="center"/>
    </xf>
    <xf numFmtId="0" fontId="2" fillId="3" borderId="0" xfId="0" applyFont="1" applyFill="1" applyAlignment="1">
      <alignment horizontal="left" vertical="center"/>
    </xf>
    <xf numFmtId="0" fontId="2" fillId="3" borderId="0" xfId="6" applyFill="1" applyBorder="1"/>
    <xf numFmtId="2" fontId="2" fillId="4" borderId="22" xfId="6" applyNumberFormat="1" applyFill="1" applyBorder="1"/>
    <xf numFmtId="2" fontId="2" fillId="4" borderId="23" xfId="6" applyNumberFormat="1" applyFill="1" applyBorder="1"/>
    <xf numFmtId="167" fontId="2" fillId="4" borderId="24" xfId="2" applyNumberFormat="1" applyFont="1" applyFill="1" applyBorder="1" applyAlignment="1">
      <alignment vertical="center"/>
    </xf>
    <xf numFmtId="2" fontId="2" fillId="4" borderId="20" xfId="0" applyNumberFormat="1" applyFont="1" applyFill="1" applyBorder="1" applyAlignment="1">
      <alignment vertical="center"/>
    </xf>
    <xf numFmtId="2" fontId="2" fillId="4" borderId="25" xfId="0" applyNumberFormat="1" applyFont="1" applyFill="1" applyBorder="1" applyAlignment="1">
      <alignment vertical="center"/>
    </xf>
    <xf numFmtId="0" fontId="1" fillId="3" borderId="0" xfId="0" applyFont="1" applyFill="1" applyAlignment="1">
      <alignment vertical="center"/>
    </xf>
    <xf numFmtId="1" fontId="1" fillId="3" borderId="0" xfId="0" applyNumberFormat="1" applyFont="1" applyFill="1" applyAlignment="1">
      <alignment vertical="center"/>
    </xf>
    <xf numFmtId="44" fontId="3" fillId="7" borderId="0" xfId="6" applyNumberFormat="1" applyFont="1" applyFill="1" applyBorder="1" applyProtection="1"/>
    <xf numFmtId="1" fontId="2" fillId="7" borderId="0" xfId="6" applyNumberFormat="1" applyFill="1" applyBorder="1" applyAlignment="1" applyProtection="1">
      <alignment horizontal="right" vertical="center"/>
    </xf>
    <xf numFmtId="1" fontId="1" fillId="7" borderId="0" xfId="6" applyNumberFormat="1" applyFont="1" applyFill="1" applyBorder="1" applyAlignment="1" applyProtection="1">
      <alignment horizontal="right" vertical="center"/>
    </xf>
    <xf numFmtId="1" fontId="2" fillId="7" borderId="0" xfId="6" applyNumberFormat="1" applyFill="1" applyBorder="1" applyAlignment="1" applyProtection="1">
      <alignment horizontal="right"/>
    </xf>
    <xf numFmtId="1" fontId="2" fillId="7" borderId="0" xfId="6" applyNumberFormat="1" applyFill="1" applyAlignment="1" applyProtection="1">
      <alignment horizontal="right"/>
    </xf>
    <xf numFmtId="3" fontId="2" fillId="7" borderId="0" xfId="2" applyNumberFormat="1" applyFont="1" applyFill="1" applyBorder="1" applyAlignment="1" applyProtection="1">
      <alignment horizontal="center"/>
    </xf>
    <xf numFmtId="2" fontId="2" fillId="7" borderId="0" xfId="6" applyNumberFormat="1" applyFont="1" applyFill="1" applyBorder="1" applyAlignment="1" applyProtection="1">
      <alignment vertical="center" wrapText="1"/>
      <protection locked="0"/>
    </xf>
    <xf numFmtId="3" fontId="2" fillId="7" borderId="0" xfId="6" applyNumberFormat="1" applyFill="1" applyBorder="1" applyAlignment="1" applyProtection="1">
      <alignment horizontal="center"/>
      <protection locked="0"/>
    </xf>
    <xf numFmtId="3" fontId="2" fillId="7" borderId="0" xfId="2" applyNumberFormat="1" applyFont="1" applyFill="1" applyBorder="1" applyAlignment="1" applyProtection="1">
      <alignment horizontal="center"/>
      <protection locked="0"/>
    </xf>
    <xf numFmtId="0" fontId="11" fillId="7" borderId="0" xfId="0" applyFont="1" applyFill="1" applyBorder="1" applyAlignment="1" applyProtection="1">
      <alignment horizontal="left"/>
    </xf>
    <xf numFmtId="0" fontId="7" fillId="7" borderId="0" xfId="0" applyFont="1" applyFill="1" applyBorder="1" applyAlignment="1" applyProtection="1">
      <alignment horizontal="left"/>
    </xf>
    <xf numFmtId="0" fontId="2" fillId="7" borderId="0" xfId="6" applyFill="1" applyBorder="1" applyAlignment="1" applyProtection="1">
      <alignment horizontal="left"/>
    </xf>
    <xf numFmtId="0" fontId="2" fillId="7" borderId="0" xfId="6" applyFill="1" applyBorder="1" applyAlignment="1" applyProtection="1">
      <alignment horizontal="center" wrapText="1"/>
    </xf>
    <xf numFmtId="0" fontId="2" fillId="7" borderId="0" xfId="6" applyFill="1" applyBorder="1" applyAlignment="1" applyProtection="1">
      <alignment horizontal="left" wrapText="1"/>
    </xf>
    <xf numFmtId="0" fontId="14" fillId="7" borderId="0" xfId="6" applyFont="1" applyFill="1" applyBorder="1" applyAlignment="1" applyProtection="1">
      <alignment horizontal="center" wrapText="1"/>
    </xf>
    <xf numFmtId="3" fontId="2" fillId="7" borderId="0" xfId="3" applyNumberFormat="1" applyFont="1" applyFill="1" applyBorder="1" applyAlignment="1" applyProtection="1">
      <alignment horizontal="center"/>
      <protection locked="0"/>
    </xf>
    <xf numFmtId="170" fontId="2" fillId="7" borderId="0" xfId="6" applyNumberFormat="1" applyFill="1" applyBorder="1" applyAlignment="1" applyProtection="1">
      <alignment horizontal="center"/>
    </xf>
    <xf numFmtId="0" fontId="15" fillId="3" borderId="0" xfId="6" applyFont="1" applyFill="1" applyBorder="1" applyAlignment="1" applyProtection="1">
      <alignment horizontal="left" vertical="center" wrapText="1"/>
    </xf>
    <xf numFmtId="0" fontId="21" fillId="7" borderId="1" xfId="6" applyFont="1" applyFill="1" applyBorder="1" applyAlignment="1" applyProtection="1">
      <alignment horizontal="left"/>
    </xf>
    <xf numFmtId="0" fontId="21" fillId="7" borderId="0" xfId="6" applyFont="1" applyFill="1" applyBorder="1" applyAlignment="1" applyProtection="1">
      <alignment horizontal="left"/>
    </xf>
    <xf numFmtId="0" fontId="15" fillId="7" borderId="0" xfId="6" applyFont="1" applyFill="1" applyBorder="1" applyAlignment="1" applyProtection="1">
      <alignment horizontal="left" vertical="center" wrapText="1"/>
    </xf>
    <xf numFmtId="0" fontId="2" fillId="7" borderId="0" xfId="6" applyFont="1" applyFill="1" applyBorder="1" applyAlignment="1" applyProtection="1">
      <alignment horizontal="left" vertical="top" wrapText="1"/>
    </xf>
    <xf numFmtId="0" fontId="23" fillId="7" borderId="0" xfId="6" applyFont="1" applyFill="1" applyBorder="1" applyAlignment="1" applyProtection="1">
      <alignment horizontal="center" wrapText="1"/>
    </xf>
    <xf numFmtId="0" fontId="29" fillId="7" borderId="0" xfId="6" applyFont="1" applyFill="1" applyBorder="1" applyAlignment="1" applyProtection="1">
      <alignment horizontal="left" wrapText="1"/>
    </xf>
    <xf numFmtId="0" fontId="2" fillId="7" borderId="0" xfId="6" applyFill="1" applyBorder="1" applyAlignment="1" applyProtection="1">
      <alignment horizontal="center" vertical="center" wrapText="1"/>
    </xf>
    <xf numFmtId="0" fontId="2" fillId="7" borderId="0" xfId="6" applyFont="1" applyFill="1" applyBorder="1" applyAlignment="1" applyProtection="1">
      <alignment horizontal="left"/>
    </xf>
    <xf numFmtId="14" fontId="2" fillId="7" borderId="0" xfId="6" applyNumberFormat="1" applyFill="1" applyBorder="1" applyAlignment="1" applyProtection="1">
      <alignment horizontal="center"/>
      <protection locked="0"/>
    </xf>
    <xf numFmtId="0" fontId="25" fillId="7" borderId="0" xfId="6" applyFont="1" applyFill="1" applyBorder="1" applyAlignment="1" applyProtection="1">
      <alignment horizontal="left" vertical="top" wrapText="1"/>
    </xf>
    <xf numFmtId="14" fontId="2" fillId="6" borderId="0" xfId="0" applyNumberFormat="1" applyFont="1" applyFill="1" applyBorder="1" applyAlignment="1" applyProtection="1">
      <alignment horizontal="right"/>
      <protection locked="0"/>
    </xf>
    <xf numFmtId="0" fontId="19" fillId="7" borderId="0" xfId="6" applyFont="1" applyFill="1" applyBorder="1" applyAlignment="1" applyProtection="1">
      <alignment horizontal="left" vertical="center" wrapText="1"/>
    </xf>
    <xf numFmtId="0" fontId="16" fillId="7" borderId="0" xfId="6" applyFont="1" applyFill="1" applyBorder="1" applyAlignment="1" applyProtection="1">
      <alignment horizontal="left" wrapText="1"/>
    </xf>
    <xf numFmtId="44" fontId="3" fillId="3" borderId="0" xfId="6" applyNumberFormat="1" applyFont="1" applyFill="1" applyBorder="1" applyAlignment="1" applyProtection="1">
      <alignment horizontal="center"/>
    </xf>
    <xf numFmtId="169" fontId="3" fillId="3" borderId="16" xfId="6" applyNumberFormat="1" applyFont="1" applyFill="1" applyBorder="1" applyAlignment="1" applyProtection="1">
      <alignment horizontal="center"/>
    </xf>
    <xf numFmtId="0" fontId="21" fillId="7" borderId="0" xfId="6" applyFont="1" applyFill="1" applyBorder="1" applyAlignment="1" applyProtection="1">
      <alignment horizontal="left" wrapText="1"/>
    </xf>
  </cellXfs>
  <cellStyles count="7">
    <cellStyle name="Komma" xfId="3" builtinId="3"/>
    <cellStyle name="Normal_cc-f-03.4.1-A03" xfId="5"/>
    <cellStyle name="Prozent" xfId="2" builtinId="5"/>
    <cellStyle name="Standard" xfId="0" builtinId="0"/>
    <cellStyle name="Standard 2" xfId="1"/>
    <cellStyle name="Standard 3" xfId="4"/>
    <cellStyle name="Standard 4" xfId="6"/>
  </cellStyles>
  <dxfs count="46">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tint="-0.24994659260841701"/>
      </font>
      <fill>
        <patternFill>
          <bgColor theme="0" tint="-0.24994659260841701"/>
        </patternFill>
      </fill>
    </dxf>
    <dxf>
      <fill>
        <patternFill>
          <bgColor theme="3" tint="0.79998168889431442"/>
        </patternFill>
      </fill>
    </dxf>
    <dxf>
      <fill>
        <patternFill>
          <bgColor theme="3"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600075</xdr:colOff>
      <xdr:row>50</xdr:row>
      <xdr:rowOff>76200</xdr:rowOff>
    </xdr:from>
    <xdr:to>
      <xdr:col>21</xdr:col>
      <xdr:colOff>638175</xdr:colOff>
      <xdr:row>52</xdr:row>
      <xdr:rowOff>40350</xdr:rowOff>
    </xdr:to>
    <xdr:sp macro="" textlink="">
      <xdr:nvSpPr>
        <xdr:cNvPr id="17" name="Rechteck 16"/>
        <xdr:cNvSpPr/>
      </xdr:nvSpPr>
      <xdr:spPr>
        <a:xfrm>
          <a:off x="8267700" y="9229725"/>
          <a:ext cx="1466850" cy="288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CH" sz="1000"/>
            <a:t>Weiter</a:t>
          </a:r>
          <a:r>
            <a:rPr lang="de-CH" sz="1000" baseline="0"/>
            <a:t> zu Schritt 5</a:t>
          </a:r>
          <a:endParaRPr lang="de-CH" sz="1000"/>
        </a:p>
      </xdr:txBody>
    </xdr:sp>
    <xdr:clientData/>
  </xdr:twoCellAnchor>
  <xdr:twoCellAnchor editAs="oneCell">
    <xdr:from>
      <xdr:col>14</xdr:col>
      <xdr:colOff>9525</xdr:colOff>
      <xdr:row>0</xdr:row>
      <xdr:rowOff>38100</xdr:rowOff>
    </xdr:from>
    <xdr:to>
      <xdr:col>20</xdr:col>
      <xdr:colOff>209176</xdr:colOff>
      <xdr:row>0</xdr:row>
      <xdr:rowOff>1180957</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05450" y="38100"/>
          <a:ext cx="2990476" cy="1142857"/>
        </a:xfrm>
        <a:prstGeom prst="rect">
          <a:avLst/>
        </a:prstGeom>
      </xdr:spPr>
    </xdr:pic>
    <xdr:clientData/>
  </xdr:twoCellAnchor>
  <xdr:twoCellAnchor>
    <xdr:from>
      <xdr:col>12</xdr:col>
      <xdr:colOff>581025</xdr:colOff>
      <xdr:row>33</xdr:row>
      <xdr:rowOff>95250</xdr:rowOff>
    </xdr:from>
    <xdr:to>
      <xdr:col>12</xdr:col>
      <xdr:colOff>581025</xdr:colOff>
      <xdr:row>36</xdr:row>
      <xdr:rowOff>0</xdr:rowOff>
    </xdr:to>
    <xdr:cxnSp macro="">
      <xdr:nvCxnSpPr>
        <xdr:cNvPr id="8" name="Gerade Verbindung mit Pfeil 7"/>
        <xdr:cNvCxnSpPr/>
      </xdr:nvCxnSpPr>
      <xdr:spPr>
        <a:xfrm flipH="1">
          <a:off x="4314825" y="7162800"/>
          <a:ext cx="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38</xdr:row>
      <xdr:rowOff>0</xdr:rowOff>
    </xdr:from>
    <xdr:to>
      <xdr:col>12</xdr:col>
      <xdr:colOff>581025</xdr:colOff>
      <xdr:row>39</xdr:row>
      <xdr:rowOff>133350</xdr:rowOff>
    </xdr:to>
    <xdr:cxnSp macro="">
      <xdr:nvCxnSpPr>
        <xdr:cNvPr id="9" name="Gerade Verbindung mit Pfeil 8"/>
        <xdr:cNvCxnSpPr/>
      </xdr:nvCxnSpPr>
      <xdr:spPr>
        <a:xfrm flipH="1">
          <a:off x="4314825" y="7781925"/>
          <a:ext cx="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266700</xdr:colOff>
      <xdr:row>16</xdr:row>
      <xdr:rowOff>85725</xdr:rowOff>
    </xdr:from>
    <xdr:to>
      <xdr:col>21</xdr:col>
      <xdr:colOff>266700</xdr:colOff>
      <xdr:row>18</xdr:row>
      <xdr:rowOff>152400</xdr:rowOff>
    </xdr:to>
    <xdr:cxnSp macro="">
      <xdr:nvCxnSpPr>
        <xdr:cNvPr id="10" name="Gerade Verbindung mit Pfeil 9"/>
        <xdr:cNvCxnSpPr/>
      </xdr:nvCxnSpPr>
      <xdr:spPr>
        <a:xfrm flipH="1">
          <a:off x="8553450" y="5162550"/>
          <a:ext cx="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609600</xdr:colOff>
      <xdr:row>13</xdr:row>
      <xdr:rowOff>19050</xdr:rowOff>
    </xdr:from>
    <xdr:to>
      <xdr:col>21</xdr:col>
      <xdr:colOff>647700</xdr:colOff>
      <xdr:row>15</xdr:row>
      <xdr:rowOff>78450</xdr:rowOff>
    </xdr:to>
    <xdr:sp macro="" textlink="">
      <xdr:nvSpPr>
        <xdr:cNvPr id="11" name="Rechteck 10"/>
        <xdr:cNvSpPr/>
      </xdr:nvSpPr>
      <xdr:spPr>
        <a:xfrm>
          <a:off x="8277225" y="4705350"/>
          <a:ext cx="1466850" cy="288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CH" sz="1000"/>
            <a:t>Weiter</a:t>
          </a:r>
          <a:r>
            <a:rPr lang="de-CH" sz="1000" baseline="0"/>
            <a:t> zu Schritt 3</a:t>
          </a:r>
          <a:endParaRPr lang="de-CH" sz="1000"/>
        </a:p>
      </xdr:txBody>
    </xdr:sp>
    <xdr:clientData/>
  </xdr:twoCellAnchor>
  <xdr:twoCellAnchor>
    <xdr:from>
      <xdr:col>12</xdr:col>
      <xdr:colOff>759882</xdr:colOff>
      <xdr:row>35</xdr:row>
      <xdr:rowOff>44450</xdr:rowOff>
    </xdr:from>
    <xdr:to>
      <xdr:col>14</xdr:col>
      <xdr:colOff>371307</xdr:colOff>
      <xdr:row>37</xdr:row>
      <xdr:rowOff>103850</xdr:rowOff>
    </xdr:to>
    <xdr:sp macro="" textlink="">
      <xdr:nvSpPr>
        <xdr:cNvPr id="12" name="Rechteck 11"/>
        <xdr:cNvSpPr/>
      </xdr:nvSpPr>
      <xdr:spPr>
        <a:xfrm>
          <a:off x="4493682" y="7435850"/>
          <a:ext cx="1468800" cy="288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CH" sz="1000"/>
            <a:t>Weiter</a:t>
          </a:r>
          <a:r>
            <a:rPr lang="de-CH" sz="1000" baseline="0"/>
            <a:t> zu Schritt 4</a:t>
          </a:r>
          <a:endParaRPr lang="de-CH" sz="1000"/>
        </a:p>
      </xdr:txBody>
    </xdr:sp>
    <xdr:clientData/>
  </xdr:twoCellAnchor>
  <xdr:twoCellAnchor>
    <xdr:from>
      <xdr:col>19</xdr:col>
      <xdr:colOff>381000</xdr:colOff>
      <xdr:row>50</xdr:row>
      <xdr:rowOff>85725</xdr:rowOff>
    </xdr:from>
    <xdr:to>
      <xdr:col>19</xdr:col>
      <xdr:colOff>381000</xdr:colOff>
      <xdr:row>51</xdr:row>
      <xdr:rowOff>139800</xdr:rowOff>
    </xdr:to>
    <xdr:cxnSp macro="">
      <xdr:nvCxnSpPr>
        <xdr:cNvPr id="14" name="Gerade Verbindung mit Pfeil 13"/>
        <xdr:cNvCxnSpPr/>
      </xdr:nvCxnSpPr>
      <xdr:spPr>
        <a:xfrm flipH="1">
          <a:off x="7953375" y="8620125"/>
          <a:ext cx="0" cy="216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390525</xdr:colOff>
      <xdr:row>55</xdr:row>
      <xdr:rowOff>19050</xdr:rowOff>
    </xdr:from>
    <xdr:to>
      <xdr:col>19</xdr:col>
      <xdr:colOff>390525</xdr:colOff>
      <xdr:row>57</xdr:row>
      <xdr:rowOff>6450</xdr:rowOff>
    </xdr:to>
    <xdr:cxnSp macro="">
      <xdr:nvCxnSpPr>
        <xdr:cNvPr id="15" name="Gerade Verbindung mit Pfeil 14"/>
        <xdr:cNvCxnSpPr/>
      </xdr:nvCxnSpPr>
      <xdr:spPr>
        <a:xfrm flipH="1">
          <a:off x="7962900" y="9229725"/>
          <a:ext cx="0" cy="216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390525</xdr:colOff>
      <xdr:row>60</xdr:row>
      <xdr:rowOff>95250</xdr:rowOff>
    </xdr:from>
    <xdr:to>
      <xdr:col>19</xdr:col>
      <xdr:colOff>390525</xdr:colOff>
      <xdr:row>62</xdr:row>
      <xdr:rowOff>120750</xdr:rowOff>
    </xdr:to>
    <xdr:cxnSp macro="">
      <xdr:nvCxnSpPr>
        <xdr:cNvPr id="16" name="Gerade Verbindung mit Pfeil 15"/>
        <xdr:cNvCxnSpPr/>
      </xdr:nvCxnSpPr>
      <xdr:spPr>
        <a:xfrm flipH="1">
          <a:off x="7962900" y="9886950"/>
          <a:ext cx="0" cy="216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559858</xdr:colOff>
      <xdr:row>72</xdr:row>
      <xdr:rowOff>102658</xdr:rowOff>
    </xdr:from>
    <xdr:to>
      <xdr:col>21</xdr:col>
      <xdr:colOff>597958</xdr:colOff>
      <xdr:row>74</xdr:row>
      <xdr:rowOff>133350</xdr:rowOff>
    </xdr:to>
    <xdr:sp macro="" textlink="">
      <xdr:nvSpPr>
        <xdr:cNvPr id="22" name="Rechteck 21"/>
        <xdr:cNvSpPr/>
      </xdr:nvSpPr>
      <xdr:spPr>
        <a:xfrm>
          <a:off x="8227483" y="12085108"/>
          <a:ext cx="1466850" cy="287867"/>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CH" sz="1000"/>
            <a:t>Weiter </a:t>
          </a:r>
          <a:r>
            <a:rPr lang="de-CH" sz="1000" baseline="0"/>
            <a:t> zum Resultat</a:t>
          </a:r>
          <a:endParaRPr lang="de-CH" sz="1000"/>
        </a:p>
      </xdr:txBody>
    </xdr:sp>
    <xdr:clientData/>
  </xdr:twoCellAnchor>
  <xdr:twoCellAnchor>
    <xdr:from>
      <xdr:col>19</xdr:col>
      <xdr:colOff>381000</xdr:colOff>
      <xdr:row>71</xdr:row>
      <xdr:rowOff>66675</xdr:rowOff>
    </xdr:from>
    <xdr:to>
      <xdr:col>19</xdr:col>
      <xdr:colOff>381000</xdr:colOff>
      <xdr:row>72</xdr:row>
      <xdr:rowOff>92175</xdr:rowOff>
    </xdr:to>
    <xdr:cxnSp macro="">
      <xdr:nvCxnSpPr>
        <xdr:cNvPr id="18" name="Gerade Verbindung mit Pfeil 17"/>
        <xdr:cNvCxnSpPr/>
      </xdr:nvCxnSpPr>
      <xdr:spPr>
        <a:xfrm flipH="1">
          <a:off x="8048625" y="11858625"/>
          <a:ext cx="0" cy="216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390525</xdr:colOff>
      <xdr:row>75</xdr:row>
      <xdr:rowOff>38100</xdr:rowOff>
    </xdr:from>
    <xdr:to>
      <xdr:col>19</xdr:col>
      <xdr:colOff>390525</xdr:colOff>
      <xdr:row>78</xdr:row>
      <xdr:rowOff>187425</xdr:rowOff>
    </xdr:to>
    <xdr:cxnSp macro="">
      <xdr:nvCxnSpPr>
        <xdr:cNvPr id="19" name="Gerade Verbindung mit Pfeil 18"/>
        <xdr:cNvCxnSpPr/>
      </xdr:nvCxnSpPr>
      <xdr:spPr>
        <a:xfrm flipH="1">
          <a:off x="8058150" y="12468225"/>
          <a:ext cx="0" cy="216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390525</xdr:colOff>
      <xdr:row>82</xdr:row>
      <xdr:rowOff>114300</xdr:rowOff>
    </xdr:from>
    <xdr:to>
      <xdr:col>19</xdr:col>
      <xdr:colOff>390525</xdr:colOff>
      <xdr:row>84</xdr:row>
      <xdr:rowOff>0</xdr:rowOff>
    </xdr:to>
    <xdr:cxnSp macro="">
      <xdr:nvCxnSpPr>
        <xdr:cNvPr id="23" name="Gerade Verbindung mit Pfeil 22"/>
        <xdr:cNvCxnSpPr/>
      </xdr:nvCxnSpPr>
      <xdr:spPr>
        <a:xfrm flipH="1">
          <a:off x="8058150" y="13125450"/>
          <a:ext cx="0" cy="216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559858</xdr:colOff>
      <xdr:row>76</xdr:row>
      <xdr:rowOff>102658</xdr:rowOff>
    </xdr:from>
    <xdr:to>
      <xdr:col>21</xdr:col>
      <xdr:colOff>597958</xdr:colOff>
      <xdr:row>78</xdr:row>
      <xdr:rowOff>133350</xdr:rowOff>
    </xdr:to>
    <xdr:sp macro="" textlink="">
      <xdr:nvSpPr>
        <xdr:cNvPr id="20" name="Rechteck 19"/>
        <xdr:cNvSpPr/>
      </xdr:nvSpPr>
      <xdr:spPr>
        <a:xfrm>
          <a:off x="8620125" y="11981391"/>
          <a:ext cx="1536700" cy="284692"/>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CH" sz="1000"/>
            <a:t>Weiter </a:t>
          </a:r>
          <a:r>
            <a:rPr lang="de-CH" sz="1000" baseline="0"/>
            <a:t> zum Resultat</a:t>
          </a:r>
          <a:endParaRPr lang="de-CH" sz="10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O217"/>
  <sheetViews>
    <sheetView tabSelected="1" zoomScaleNormal="100" zoomScaleSheetLayoutView="100" workbookViewId="0">
      <selection activeCell="N9" sqref="N9:O9"/>
    </sheetView>
  </sheetViews>
  <sheetFormatPr baseColWidth="10" defaultColWidth="0" defaultRowHeight="0" customHeight="1" zeroHeight="1" x14ac:dyDescent="0.2"/>
  <cols>
    <col min="1" max="2" width="1" style="47" customWidth="1"/>
    <col min="3" max="3" width="8.42578125" style="93" customWidth="1"/>
    <col min="4" max="4" width="1" style="93" customWidth="1"/>
    <col min="5" max="5" width="11.42578125" style="93" hidden="1" customWidth="1"/>
    <col min="6" max="6" width="4.28515625" style="93" customWidth="1"/>
    <col min="7" max="7" width="15.28515625" style="93" customWidth="1"/>
    <col min="8" max="8" width="6.140625" style="93" customWidth="1"/>
    <col min="9" max="10" width="8.7109375" style="93" customWidth="1"/>
    <col min="11" max="12" width="0.7109375" style="93" customWidth="1"/>
    <col min="13" max="13" width="20.5703125" style="93" customWidth="1"/>
    <col min="14" max="14" width="7.28515625" style="93" customWidth="1"/>
    <col min="15" max="15" width="9.7109375" style="93" customWidth="1"/>
    <col min="16" max="16" width="1" style="93" customWidth="1"/>
    <col min="17" max="17" width="9.7109375" style="93" customWidth="1"/>
    <col min="18" max="18" width="1" style="93" customWidth="1"/>
    <col min="19" max="19" width="9.7109375" style="93" customWidth="1"/>
    <col min="20" max="21" width="10.7109375" style="93" customWidth="1"/>
    <col min="22" max="22" width="15.7109375" style="93" customWidth="1"/>
    <col min="23" max="23" width="1" style="93" hidden="1" customWidth="1"/>
    <col min="24" max="28" width="11.42578125" style="93" hidden="1" customWidth="1"/>
    <col min="29" max="40" width="0" style="93" hidden="1" customWidth="1"/>
    <col min="41" max="41" width="1" style="93" hidden="1" customWidth="1"/>
    <col min="42" max="16384" width="11.42578125" style="93" hidden="1"/>
  </cols>
  <sheetData>
    <row r="1" spans="1:23" s="47" customFormat="1" ht="166.5" customHeight="1" x14ac:dyDescent="0.35">
      <c r="A1" s="46"/>
      <c r="C1" s="48" t="s">
        <v>22</v>
      </c>
      <c r="D1" s="49"/>
      <c r="E1" s="49"/>
      <c r="F1" s="49"/>
      <c r="G1" s="49"/>
      <c r="H1" s="49"/>
      <c r="I1" s="49"/>
      <c r="J1" s="49"/>
      <c r="K1" s="49"/>
      <c r="L1" s="49"/>
      <c r="M1" s="49"/>
      <c r="N1" s="49"/>
      <c r="O1" s="49"/>
      <c r="P1" s="49"/>
      <c r="Q1" s="49"/>
      <c r="R1" s="49"/>
      <c r="S1" s="49"/>
      <c r="T1" s="49"/>
      <c r="U1" s="49"/>
      <c r="V1" s="49"/>
      <c r="W1" s="49"/>
    </row>
    <row r="2" spans="1:23" s="47" customFormat="1" ht="12.75" customHeight="1" x14ac:dyDescent="0.35">
      <c r="A2" s="46"/>
      <c r="B2" s="50"/>
      <c r="C2" s="51"/>
      <c r="D2" s="49"/>
      <c r="E2" s="49"/>
      <c r="F2" s="49"/>
      <c r="G2" s="49"/>
      <c r="H2" s="49"/>
      <c r="I2" s="49"/>
      <c r="J2" s="49"/>
      <c r="K2" s="49"/>
      <c r="L2" s="49"/>
      <c r="M2" s="49"/>
      <c r="N2" s="49"/>
      <c r="O2" s="49"/>
      <c r="P2" s="49"/>
      <c r="Q2" s="49"/>
      <c r="R2" s="49"/>
      <c r="S2" s="49"/>
      <c r="T2" s="49"/>
      <c r="U2" s="49"/>
      <c r="V2" s="49"/>
      <c r="W2" s="49"/>
    </row>
    <row r="3" spans="1:23" s="47" customFormat="1" ht="42.75" customHeight="1" x14ac:dyDescent="0.35">
      <c r="A3" s="52"/>
      <c r="B3" s="53"/>
      <c r="C3" s="179" t="s">
        <v>24</v>
      </c>
      <c r="D3" s="179"/>
      <c r="E3" s="179"/>
      <c r="F3" s="179"/>
      <c r="G3" s="179"/>
      <c r="H3" s="179"/>
      <c r="I3" s="179"/>
      <c r="J3" s="179"/>
      <c r="K3" s="179"/>
      <c r="L3" s="179"/>
      <c r="M3" s="179"/>
      <c r="N3" s="179"/>
      <c r="O3" s="179"/>
      <c r="P3" s="106"/>
      <c r="Q3" s="106"/>
      <c r="R3" s="106"/>
      <c r="S3" s="106"/>
      <c r="T3" s="106"/>
      <c r="U3" s="106"/>
      <c r="V3" s="105"/>
      <c r="W3" s="49"/>
    </row>
    <row r="4" spans="1:23" s="47" customFormat="1" ht="42.75" customHeight="1" x14ac:dyDescent="0.35">
      <c r="A4" s="49"/>
      <c r="B4" s="100"/>
      <c r="C4" s="179"/>
      <c r="D4" s="179"/>
      <c r="E4" s="179"/>
      <c r="F4" s="179"/>
      <c r="G4" s="179"/>
      <c r="H4" s="179"/>
      <c r="I4" s="179"/>
      <c r="J4" s="179"/>
      <c r="K4" s="179"/>
      <c r="L4" s="179"/>
      <c r="M4" s="179"/>
      <c r="N4" s="179"/>
      <c r="O4" s="179"/>
      <c r="P4" s="106"/>
      <c r="Q4" s="106"/>
      <c r="R4" s="106"/>
      <c r="S4" s="106"/>
      <c r="T4" s="106"/>
      <c r="U4" s="106"/>
      <c r="V4" s="105"/>
      <c r="W4" s="49"/>
    </row>
    <row r="5" spans="1:23" s="47" customFormat="1" ht="47.25" customHeight="1" x14ac:dyDescent="0.35">
      <c r="A5" s="49"/>
      <c r="B5" s="100"/>
      <c r="C5" s="179"/>
      <c r="D5" s="179"/>
      <c r="E5" s="179"/>
      <c r="F5" s="179"/>
      <c r="G5" s="179"/>
      <c r="H5" s="179"/>
      <c r="I5" s="179"/>
      <c r="J5" s="179"/>
      <c r="K5" s="179"/>
      <c r="L5" s="179"/>
      <c r="M5" s="179"/>
      <c r="N5" s="179"/>
      <c r="O5" s="179"/>
      <c r="P5" s="99"/>
      <c r="Q5" s="99"/>
      <c r="R5" s="99"/>
      <c r="S5" s="99"/>
      <c r="T5" s="99"/>
      <c r="U5" s="99"/>
      <c r="V5" s="99"/>
      <c r="W5" s="49"/>
    </row>
    <row r="6" spans="1:23" s="49" customFormat="1" ht="5.25" customHeight="1" x14ac:dyDescent="0.2">
      <c r="B6" s="56"/>
      <c r="C6" s="57"/>
      <c r="M6" s="136"/>
      <c r="N6" s="136"/>
    </row>
    <row r="7" spans="1:23" s="49" customFormat="1" ht="5.25" customHeight="1" x14ac:dyDescent="0.2">
      <c r="B7" s="64"/>
      <c r="C7" s="57"/>
      <c r="M7" s="136"/>
      <c r="N7" s="136"/>
    </row>
    <row r="8" spans="1:23" s="49" customFormat="1" ht="5.25" customHeight="1" x14ac:dyDescent="0.2">
      <c r="B8" s="64"/>
      <c r="C8" s="57"/>
      <c r="M8" s="136"/>
      <c r="N8" s="136"/>
    </row>
    <row r="9" spans="1:23" s="54" customFormat="1" ht="12.75" customHeight="1" x14ac:dyDescent="0.25">
      <c r="C9" s="161" t="s">
        <v>23</v>
      </c>
      <c r="D9" s="162"/>
      <c r="E9" s="162"/>
      <c r="F9" s="162"/>
      <c r="G9" s="162"/>
      <c r="H9" s="162"/>
      <c r="I9" s="162"/>
      <c r="J9" s="162"/>
      <c r="K9" s="162"/>
      <c r="L9" s="162"/>
      <c r="M9" s="162"/>
      <c r="N9" s="180"/>
      <c r="O9" s="180"/>
      <c r="P9" s="55"/>
      <c r="Q9" s="118" t="str">
        <f>IF(ISBLANK(N9),"Bitte füllen Sie das blaue Feld aus.","")</f>
        <v>Bitte füllen Sie das blaue Feld aus.</v>
      </c>
      <c r="R9" s="55"/>
      <c r="S9" s="55"/>
      <c r="T9" s="55"/>
      <c r="U9" s="55"/>
      <c r="V9" s="55"/>
    </row>
    <row r="10" spans="1:23" s="49" customFormat="1" ht="5.25" customHeight="1" x14ac:dyDescent="0.2">
      <c r="B10" s="56"/>
      <c r="C10" s="57"/>
      <c r="M10" s="136"/>
      <c r="N10" s="136"/>
      <c r="O10" s="58"/>
    </row>
    <row r="11" spans="1:23" s="49" customFormat="1" ht="5.25" customHeight="1" x14ac:dyDescent="0.2">
      <c r="B11" s="59"/>
      <c r="C11" s="60"/>
      <c r="D11" s="60"/>
      <c r="E11" s="60"/>
      <c r="F11" s="60"/>
      <c r="G11" s="60"/>
      <c r="H11" s="60"/>
      <c r="I11" s="60"/>
      <c r="J11" s="60"/>
      <c r="K11" s="60"/>
      <c r="L11" s="60"/>
      <c r="M11" s="60"/>
      <c r="N11" s="60"/>
      <c r="P11" s="60"/>
      <c r="Q11" s="60"/>
      <c r="R11" s="60"/>
      <c r="S11" s="60"/>
      <c r="T11" s="60"/>
      <c r="U11" s="60"/>
      <c r="V11" s="60"/>
    </row>
    <row r="12" spans="1:23" s="49" customFormat="1" ht="12.75" x14ac:dyDescent="0.2">
      <c r="B12" s="56"/>
      <c r="C12" s="57" t="str">
        <f>IF(NOT(ISBLANK(N9)),"2) Zivilstand","")</f>
        <v/>
      </c>
      <c r="G12" s="49" t="str">
        <f>IF(NOT(C12=""),"Sind Sie verheiratet?","")</f>
        <v/>
      </c>
      <c r="O12" s="97"/>
    </row>
    <row r="13" spans="1:23" s="49" customFormat="1" ht="5.25" customHeight="1" x14ac:dyDescent="0.2">
      <c r="B13" s="59"/>
    </row>
    <row r="14" spans="1:23" s="49" customFormat="1" ht="12.75" customHeight="1" x14ac:dyDescent="0.2">
      <c r="B14" s="56"/>
      <c r="G14" s="165" t="str">
        <f>IF(O12="Nein","Leben Sie mit Ihrer Partnerin/Ihrem Partner im gleichen Haushalt?","")</f>
        <v/>
      </c>
      <c r="H14" s="165"/>
      <c r="I14" s="165"/>
      <c r="J14" s="165"/>
      <c r="K14" s="165"/>
      <c r="L14" s="165"/>
      <c r="M14" s="165"/>
      <c r="N14" s="63"/>
      <c r="O14" s="97"/>
    </row>
    <row r="15" spans="1:23" s="49" customFormat="1" ht="5.25" customHeight="1" x14ac:dyDescent="0.2">
      <c r="B15" s="59"/>
    </row>
    <row r="16" spans="1:23" s="49" customFormat="1" ht="12.75" x14ac:dyDescent="0.2">
      <c r="B16" s="56"/>
      <c r="G16" s="49" t="str">
        <f>IF(NOT(C12=""),"Werden Sie quellenbesteuert?","")</f>
        <v/>
      </c>
      <c r="O16" s="97"/>
    </row>
    <row r="17" spans="2:22" s="49" customFormat="1" ht="5.25" customHeight="1" x14ac:dyDescent="0.2">
      <c r="B17" s="59"/>
    </row>
    <row r="18" spans="2:22" s="49" customFormat="1" ht="12.75" x14ac:dyDescent="0.2">
      <c r="B18" s="56"/>
      <c r="G18" s="49" t="str">
        <f>IF(AND(NOT(C12=""),O14="Ja",O12="Nein"),"Wird Ihre Partnerin/Ihr Partner quellenbesteuert?","")</f>
        <v/>
      </c>
      <c r="O18" s="97"/>
    </row>
    <row r="19" spans="2:22" s="49" customFormat="1" ht="12.75" x14ac:dyDescent="0.2">
      <c r="B19" s="56"/>
      <c r="P19" s="104"/>
      <c r="Q19" s="104" t="str">
        <f>IF(AND(NOT(C12=""),OR(ISBLANK(N9),ISBLANK(O16),ISBLANK(O12),AND(O12="Nein",ISBLANK(O14)),AND(O12="Nein",O14="Ja",ISBLANK(O18)))),"Bitte füllen Sie alle blauen Felder aus.","")</f>
        <v/>
      </c>
      <c r="R19" s="104"/>
      <c r="S19" s="104"/>
      <c r="T19" s="104"/>
      <c r="U19" s="104"/>
      <c r="V19" s="104"/>
    </row>
    <row r="20" spans="2:22" s="49" customFormat="1" ht="5.25" customHeight="1" x14ac:dyDescent="0.2">
      <c r="B20" s="56"/>
      <c r="C20" s="57"/>
      <c r="M20" s="136"/>
      <c r="N20" s="136"/>
    </row>
    <row r="21" spans="2:22" s="49" customFormat="1" ht="5.25" customHeight="1" x14ac:dyDescent="0.2">
      <c r="B21" s="59"/>
      <c r="C21" s="60"/>
      <c r="D21" s="60"/>
      <c r="E21" s="60"/>
      <c r="F21" s="60"/>
      <c r="G21" s="60"/>
      <c r="H21" s="60"/>
      <c r="I21" s="60"/>
      <c r="J21" s="60"/>
      <c r="K21" s="60"/>
      <c r="L21" s="60"/>
      <c r="M21" s="60"/>
      <c r="N21" s="60"/>
      <c r="O21" s="60"/>
      <c r="P21" s="60"/>
      <c r="Q21" s="60"/>
      <c r="R21" s="60"/>
      <c r="S21" s="60"/>
      <c r="T21" s="60"/>
      <c r="U21" s="60"/>
      <c r="V21" s="60"/>
    </row>
    <row r="22" spans="2:22" s="49" customFormat="1" ht="12.75" x14ac:dyDescent="0.2">
      <c r="B22" s="56"/>
      <c r="C22" s="57" t="str">
        <f>IF(AND(NOT(C12=""),NOT(Q19="Bitte füllen Sie alle blauen Felder aus.")),"3) Haushalt","")</f>
        <v/>
      </c>
      <c r="N22" s="123"/>
      <c r="O22" s="57"/>
    </row>
    <row r="23" spans="2:22" s="49" customFormat="1" ht="5.25" customHeight="1" x14ac:dyDescent="0.2">
      <c r="B23" s="59"/>
    </row>
    <row r="24" spans="2:22" s="49" customFormat="1" ht="12.75" x14ac:dyDescent="0.2">
      <c r="B24" s="56"/>
      <c r="C24" s="163" t="str">
        <f>IF(AND(OR(AND($O12="Ja",$O16="Nein"),AND(O12="Nein",O14="Nein",O16="Nein")),NOT(C22="")),"Steuerbares Einkommen","")</f>
        <v/>
      </c>
      <c r="D24" s="163"/>
      <c r="E24" s="163"/>
      <c r="F24" s="163"/>
      <c r="G24" s="163"/>
      <c r="H24" s="103" t="str">
        <f>IF(NOT(C24=""),"CHF","")</f>
        <v/>
      </c>
      <c r="I24" s="159"/>
      <c r="J24" s="159"/>
      <c r="K24" s="122"/>
      <c r="L24" s="122"/>
      <c r="M24" s="49" t="str">
        <f>IF(NOT(C24=""),"Steuerbares Vermögen","")</f>
        <v/>
      </c>
      <c r="N24" s="98" t="str">
        <f>IF(NOT(M24=""),"CHF","")</f>
        <v/>
      </c>
      <c r="O24" s="159"/>
      <c r="P24" s="159"/>
      <c r="Q24" s="159"/>
      <c r="R24" s="159"/>
      <c r="S24" s="159"/>
    </row>
    <row r="25" spans="2:22" s="49" customFormat="1" ht="5.25" customHeight="1" x14ac:dyDescent="0.2">
      <c r="B25" s="59"/>
    </row>
    <row r="26" spans="2:22" s="49" customFormat="1" ht="12.75" x14ac:dyDescent="0.2">
      <c r="B26" s="59"/>
      <c r="C26" s="163" t="str">
        <f>IF(AND(OR($O12="Ja",AND(O12="Nein",O14="Nein")),$O16="Ja",NOT(C22="")),"Bruttoeinkommen","")</f>
        <v/>
      </c>
      <c r="D26" s="163"/>
      <c r="E26" s="163"/>
      <c r="F26" s="163"/>
      <c r="G26" s="163"/>
      <c r="H26" s="49" t="str">
        <f>IF(NOT(C26=""),"CHF","")</f>
        <v/>
      </c>
      <c r="I26" s="159"/>
      <c r="J26" s="159"/>
    </row>
    <row r="27" spans="2:22" s="49" customFormat="1" ht="5.25" customHeight="1" x14ac:dyDescent="0.2">
      <c r="B27" s="59"/>
    </row>
    <row r="28" spans="2:22" s="49" customFormat="1" ht="12.75" x14ac:dyDescent="0.2">
      <c r="B28" s="59"/>
      <c r="C28" s="164" t="str">
        <f>IF(AND(NOT(C22=""),O12="Nein",O14="Ja",O16="Nein"),"Ihr steuerbares Einkommen","")</f>
        <v/>
      </c>
      <c r="D28" s="164"/>
      <c r="E28" s="164"/>
      <c r="F28" s="164"/>
      <c r="G28" s="164"/>
      <c r="H28" s="49" t="str">
        <f>IF(NOT(C28=""),"CHF","")</f>
        <v/>
      </c>
      <c r="I28" s="159"/>
      <c r="J28" s="159"/>
      <c r="M28" s="164" t="str">
        <f>IF(NOT(C28=""),"Ihr steuerbares Vermögen","")</f>
        <v/>
      </c>
      <c r="N28" s="164"/>
      <c r="O28" s="98" t="str">
        <f>IF(NOT(M28=""),"CHF","")</f>
        <v/>
      </c>
      <c r="P28" s="159"/>
      <c r="Q28" s="159"/>
      <c r="R28" s="159"/>
      <c r="S28" s="159"/>
      <c r="T28" s="159"/>
      <c r="U28" s="122"/>
    </row>
    <row r="29" spans="2:22" s="49" customFormat="1" ht="12.75" x14ac:dyDescent="0.2">
      <c r="B29" s="59"/>
      <c r="C29" s="164"/>
      <c r="D29" s="164"/>
      <c r="E29" s="164"/>
      <c r="F29" s="164"/>
      <c r="G29" s="164"/>
      <c r="M29" s="164"/>
      <c r="N29" s="164"/>
    </row>
    <row r="30" spans="2:22" s="49" customFormat="1" ht="5.25" customHeight="1" x14ac:dyDescent="0.2">
      <c r="B30" s="59"/>
    </row>
    <row r="31" spans="2:22" s="49" customFormat="1" ht="12.75" customHeight="1" x14ac:dyDescent="0.2">
      <c r="B31" s="59"/>
      <c r="C31" s="164" t="str">
        <f>IF(AND(NOT(C22=""),O12="Nein",O14="Ja",O18="Nein"),"Steuerbares Einkommen Ihrer Partnerin/Ihres Partners","")</f>
        <v/>
      </c>
      <c r="D31" s="164"/>
      <c r="E31" s="164"/>
      <c r="F31" s="164"/>
      <c r="G31" s="164"/>
      <c r="H31" s="49" t="str">
        <f>IF(NOT(C31=""),"CHF","")</f>
        <v/>
      </c>
      <c r="I31" s="167"/>
      <c r="J31" s="167"/>
      <c r="M31" s="164" t="str">
        <f>IF(NOT(C31=""),"Steuerbares Vermögen Ihrer Partnerin/Ihres Partners","")</f>
        <v/>
      </c>
      <c r="N31" s="164"/>
      <c r="O31" s="98" t="str">
        <f>IF(NOT(M31=""),"CHF","")</f>
        <v/>
      </c>
      <c r="P31" s="159"/>
      <c r="Q31" s="159"/>
      <c r="R31" s="159"/>
      <c r="S31" s="159"/>
      <c r="T31" s="159"/>
      <c r="U31" s="122"/>
    </row>
    <row r="32" spans="2:22" s="49" customFormat="1" ht="12.75" customHeight="1" x14ac:dyDescent="0.2">
      <c r="B32" s="59"/>
      <c r="C32" s="164"/>
      <c r="D32" s="164"/>
      <c r="E32" s="164"/>
      <c r="F32" s="164"/>
      <c r="G32" s="164"/>
      <c r="M32" s="164"/>
      <c r="N32" s="164"/>
    </row>
    <row r="33" spans="2:22" s="49" customFormat="1" ht="5.25" customHeight="1" x14ac:dyDescent="0.2">
      <c r="B33" s="59"/>
    </row>
    <row r="34" spans="2:22" s="49" customFormat="1" ht="12.75" customHeight="1" x14ac:dyDescent="0.2">
      <c r="B34" s="59"/>
      <c r="C34" s="176" t="str">
        <f>IF(AND(NOT(C22=""),O12="Nein",O14="Ja",O16="Ja"),"Ihr Bruttoeinkommen","")</f>
        <v/>
      </c>
      <c r="D34" s="176"/>
      <c r="E34" s="176"/>
      <c r="F34" s="176"/>
      <c r="G34" s="176"/>
      <c r="H34" s="49" t="str">
        <f>IF(NOT(C34=""),"CHF","")</f>
        <v/>
      </c>
      <c r="I34" s="160"/>
      <c r="J34" s="160"/>
    </row>
    <row r="35" spans="2:22" s="49" customFormat="1" ht="12.75" customHeight="1" x14ac:dyDescent="0.2">
      <c r="B35" s="59"/>
      <c r="C35" s="176"/>
      <c r="D35" s="176"/>
      <c r="E35" s="176"/>
      <c r="F35" s="176"/>
      <c r="G35" s="176"/>
      <c r="I35" s="157"/>
      <c r="J35" s="157"/>
    </row>
    <row r="36" spans="2:22" s="49" customFormat="1" ht="5.25" customHeight="1" x14ac:dyDescent="0.2">
      <c r="B36" s="59"/>
      <c r="C36" s="127"/>
      <c r="D36" s="127"/>
      <c r="E36" s="127"/>
      <c r="F36" s="127"/>
      <c r="G36" s="127"/>
    </row>
    <row r="37" spans="2:22" s="49" customFormat="1" ht="12.75" customHeight="1" x14ac:dyDescent="0.2">
      <c r="B37" s="59"/>
      <c r="C37" s="164" t="str">
        <f>IF(AND(NOT(C22=""),O12="Nein",O14="Ja",O18="Ja"),"Bruttoeinkommen Ihrer Partnerin/Ihres Partners","")</f>
        <v/>
      </c>
      <c r="D37" s="164"/>
      <c r="E37" s="164"/>
      <c r="F37" s="164"/>
      <c r="G37" s="164"/>
      <c r="H37" s="49" t="str">
        <f>IF(NOT(C37=""),"CHF","")</f>
        <v/>
      </c>
      <c r="I37" s="159"/>
      <c r="J37" s="159"/>
    </row>
    <row r="38" spans="2:22" s="49" customFormat="1" ht="12.75" customHeight="1" x14ac:dyDescent="0.2">
      <c r="B38" s="59"/>
      <c r="C38" s="164"/>
      <c r="D38" s="164"/>
      <c r="E38" s="164"/>
      <c r="F38" s="164"/>
      <c r="G38" s="164"/>
      <c r="O38" s="62" t="str">
        <f>IF(OR($C28="1. Erziehungsberechtigte/r*: Steuerbares Einkommen",C31="2. Erziehungsberechtigte/r*: Steuerbares Einkommen"),"*quellenbesteuerte Personen müssen Ihr Bruttoeinkommen angeben","")</f>
        <v/>
      </c>
    </row>
    <row r="39" spans="2:22" s="49" customFormat="1" ht="12.75" customHeight="1" x14ac:dyDescent="0.2">
      <c r="B39" s="59"/>
      <c r="C39" s="137"/>
      <c r="D39" s="137"/>
      <c r="E39" s="137"/>
      <c r="F39" s="137"/>
      <c r="G39" s="137"/>
      <c r="O39" s="62"/>
    </row>
    <row r="40" spans="2:22" s="49" customFormat="1" ht="12.75" customHeight="1" x14ac:dyDescent="0.2">
      <c r="B40" s="59"/>
      <c r="C40" s="175" t="str">
        <f>IF(AND(NOT(C22=""),OR(AND(H24="CHF",OR(ISBLANK(O24),ISBLANK(I24))),AND(H34="CHF",ISBLANK(I34)),AND(H37="CHF",ISBLANK(I37)),AND(H26="CHF",ISBLANK(I26)),AND(H28="CHF",OR(ISBLANK(I28),ISBLANK(P28))),AND(H31="CHF",OR(ISBLANK(I31),ISBLANK(P31))))),"Bitte füllen Sie alle blauen Felder aus.","")</f>
        <v/>
      </c>
      <c r="D40" s="175"/>
      <c r="E40" s="175"/>
      <c r="F40" s="175"/>
      <c r="G40" s="175"/>
      <c r="H40" s="175"/>
      <c r="I40" s="107"/>
      <c r="J40" s="107"/>
      <c r="O40" s="62"/>
    </row>
    <row r="41" spans="2:22" s="49" customFormat="1" ht="5.25" customHeight="1" x14ac:dyDescent="0.2">
      <c r="B41" s="59"/>
    </row>
    <row r="42" spans="2:22" s="49" customFormat="1" ht="5.25" customHeight="1" x14ac:dyDescent="0.2">
      <c r="B42" s="59"/>
      <c r="C42" s="60"/>
      <c r="D42" s="60"/>
      <c r="E42" s="60"/>
      <c r="F42" s="60"/>
      <c r="G42" s="60"/>
      <c r="H42" s="60"/>
      <c r="I42" s="60"/>
      <c r="J42" s="60"/>
      <c r="K42" s="60"/>
      <c r="L42" s="60"/>
      <c r="M42" s="60"/>
      <c r="N42" s="60"/>
      <c r="O42" s="60"/>
      <c r="P42" s="60"/>
      <c r="Q42" s="60"/>
      <c r="R42" s="60"/>
      <c r="S42" s="60"/>
      <c r="T42" s="60"/>
      <c r="U42" s="60"/>
      <c r="V42" s="60"/>
    </row>
    <row r="43" spans="2:22" s="49" customFormat="1" ht="5.25" customHeight="1" x14ac:dyDescent="0.2">
      <c r="B43" s="59"/>
    </row>
    <row r="44" spans="2:22" s="49" customFormat="1" ht="12.75" customHeight="1" x14ac:dyDescent="0.2">
      <c r="B44" s="59"/>
      <c r="C44" s="57" t="str">
        <f>IF(AND(C22="3) Haushalt",NOT(C40="Bitte füllen Sie alle blauen Felder aus.")),"4) Kind","")</f>
        <v/>
      </c>
      <c r="O44" s="166" t="str">
        <f>IF(M46&gt;0,"Ganzer Tag (mit Mittagessen)","")</f>
        <v/>
      </c>
      <c r="Q44" s="166" t="str">
        <f>IF(M46&gt;0,"Halber Tag mit Mittagessen","")</f>
        <v/>
      </c>
      <c r="S44" s="166" t="str">
        <f>IF(M46&gt;0,"Halber Tag ohne Mittagessen","")</f>
        <v/>
      </c>
    </row>
    <row r="45" spans="2:22" s="49" customFormat="1" ht="5.25" customHeight="1" x14ac:dyDescent="0.2">
      <c r="B45" s="59"/>
      <c r="O45" s="166"/>
      <c r="Q45" s="166"/>
      <c r="S45" s="166"/>
    </row>
    <row r="46" spans="2:22" s="49" customFormat="1" ht="12.75" customHeight="1" x14ac:dyDescent="0.2">
      <c r="B46" s="59"/>
      <c r="C46" s="173" t="str">
        <f>IF(NOT(C44=""),"Für wie viele Kinder möchten Sie Betreuungszuschüsse beantragen?","")</f>
        <v/>
      </c>
      <c r="D46" s="173"/>
      <c r="E46" s="173"/>
      <c r="F46" s="173"/>
      <c r="G46" s="173"/>
      <c r="H46" s="173"/>
      <c r="I46" s="173"/>
      <c r="J46" s="173"/>
      <c r="M46" s="128"/>
      <c r="O46" s="166"/>
      <c r="Q46" s="166"/>
      <c r="S46" s="166"/>
    </row>
    <row r="47" spans="2:22" s="49" customFormat="1" ht="12.75" customHeight="1" x14ac:dyDescent="0.2">
      <c r="B47" s="59"/>
      <c r="C47" s="173"/>
      <c r="D47" s="173"/>
      <c r="E47" s="173"/>
      <c r="F47" s="173"/>
      <c r="G47" s="173"/>
      <c r="H47" s="173"/>
      <c r="I47" s="173"/>
      <c r="J47" s="173"/>
      <c r="M47" s="71"/>
      <c r="N47" s="71"/>
      <c r="O47" s="166"/>
      <c r="Q47" s="166"/>
      <c r="S47" s="166"/>
    </row>
    <row r="48" spans="2:22" s="49" customFormat="1" ht="5.25" customHeight="1" x14ac:dyDescent="0.2">
      <c r="B48" s="59"/>
      <c r="O48" s="166"/>
      <c r="Q48" s="166"/>
      <c r="S48" s="166"/>
    </row>
    <row r="49" spans="2:22" s="49" customFormat="1" ht="12.75" customHeight="1" x14ac:dyDescent="0.2">
      <c r="B49" s="59"/>
      <c r="C49" s="171" t="str">
        <f>IF(AND(NOT(C44=""),M46&lt;1),"Bitte geben Sie die Anzahl Kinder im Vorschulalter an.","")</f>
        <v/>
      </c>
      <c r="D49" s="171"/>
      <c r="E49" s="171"/>
      <c r="F49" s="171"/>
      <c r="G49" s="171"/>
      <c r="H49" s="171"/>
      <c r="I49" s="171"/>
      <c r="J49" s="171"/>
      <c r="M49" s="61" t="str">
        <f>IF(M46&gt;0,"Betreuung pro Woche","")</f>
        <v/>
      </c>
      <c r="O49" s="166"/>
      <c r="Q49" s="166"/>
      <c r="S49" s="166"/>
    </row>
    <row r="50" spans="2:22" s="49" customFormat="1" ht="5.25" customHeight="1" x14ac:dyDescent="0.2">
      <c r="B50" s="59"/>
      <c r="O50" s="166"/>
      <c r="Q50" s="166"/>
      <c r="S50" s="166"/>
    </row>
    <row r="51" spans="2:22" s="49" customFormat="1" ht="12.75" customHeight="1" x14ac:dyDescent="0.2">
      <c r="B51" s="59"/>
      <c r="O51" s="166"/>
      <c r="Q51" s="166"/>
      <c r="S51" s="166"/>
    </row>
    <row r="52" spans="2:22" s="49" customFormat="1" ht="12.75" x14ac:dyDescent="0.2">
      <c r="B52" s="59"/>
      <c r="O52" s="166"/>
      <c r="Q52" s="166"/>
      <c r="S52" s="166"/>
    </row>
    <row r="53" spans="2:22" s="49" customFormat="1" ht="5.25" customHeight="1" x14ac:dyDescent="0.2">
      <c r="B53" s="59"/>
    </row>
    <row r="54" spans="2:22" s="49" customFormat="1" ht="12.75" x14ac:dyDescent="0.2">
      <c r="B54" s="59"/>
      <c r="C54" s="177" t="str">
        <f>IF(AND(NOT(C44=""),M46&gt;0),"Kind 1 Geburtsdatum (dd.mm.yyyy)","")</f>
        <v/>
      </c>
      <c r="D54" s="177"/>
      <c r="E54" s="177"/>
      <c r="F54" s="177"/>
      <c r="G54" s="177"/>
      <c r="H54" s="177"/>
      <c r="I54" s="178"/>
      <c r="J54" s="178"/>
      <c r="M54" s="49" t="str">
        <f>IF(NOT(C54=""),"Kind 1 Betreuung pro Woche","")</f>
        <v/>
      </c>
      <c r="O54" s="126"/>
      <c r="P54" s="121"/>
      <c r="Q54" s="97"/>
      <c r="S54" s="97"/>
      <c r="T54" s="108"/>
      <c r="U54" s="108"/>
      <c r="V54" s="108"/>
    </row>
    <row r="55" spans="2:22" s="49" customFormat="1" ht="9.9499999999999993" customHeight="1" x14ac:dyDescent="0.2">
      <c r="B55" s="59"/>
      <c r="C55" s="139"/>
      <c r="D55" s="139"/>
      <c r="E55" s="139"/>
      <c r="F55" s="139"/>
      <c r="G55" s="139"/>
      <c r="H55" s="139"/>
      <c r="I55" s="120"/>
      <c r="J55" s="120"/>
      <c r="M55" s="109" t="str">
        <f>IF(O54+Q54+S54&gt;5,"Die eingegebenen Zahlen übersteigen die Anzahl möglicher Betreuungstage pro Woche. Bitte passen Sie die Zahlen an.","")</f>
        <v/>
      </c>
      <c r="O55" s="121"/>
      <c r="P55" s="121"/>
      <c r="T55" s="108"/>
      <c r="U55" s="108"/>
      <c r="V55" s="108"/>
    </row>
    <row r="56" spans="2:22" s="49" customFormat="1" ht="5.25" customHeight="1" x14ac:dyDescent="0.2">
      <c r="B56" s="59"/>
      <c r="C56" s="67"/>
      <c r="D56" s="67"/>
      <c r="E56" s="67"/>
      <c r="F56" s="67"/>
      <c r="G56" s="67"/>
      <c r="H56" s="67"/>
    </row>
    <row r="57" spans="2:22" s="49" customFormat="1" ht="12.75" x14ac:dyDescent="0.2">
      <c r="B57" s="59"/>
      <c r="C57" s="177" t="str">
        <f>IF(AND(NOT(C44=""),M46&gt;1),"Kind 2 Geburtsdatum (dd.mm.yyyy)","")</f>
        <v/>
      </c>
      <c r="D57" s="177"/>
      <c r="E57" s="177"/>
      <c r="F57" s="177"/>
      <c r="G57" s="177"/>
      <c r="H57" s="177"/>
      <c r="I57" s="178"/>
      <c r="J57" s="178"/>
      <c r="M57" s="49" t="str">
        <f>IF(NOT(C57=""),"Kind 2 Betreuung pro Woche","")</f>
        <v/>
      </c>
      <c r="O57" s="125"/>
      <c r="P57" s="71"/>
      <c r="Q57" s="97"/>
      <c r="S57" s="97"/>
    </row>
    <row r="58" spans="2:22" s="49" customFormat="1" ht="9.9499999999999993" customHeight="1" x14ac:dyDescent="0.2">
      <c r="B58" s="59"/>
      <c r="C58" s="139"/>
      <c r="D58" s="139"/>
      <c r="E58" s="139"/>
      <c r="F58" s="139"/>
      <c r="G58" s="139"/>
      <c r="H58" s="139"/>
      <c r="I58" s="120"/>
      <c r="J58" s="120"/>
      <c r="M58" s="109" t="str">
        <f>IF(O57+Q57+S57&gt;5,"Die eingegebenen Zahlen übersteigen die Anzahl möglicher Betreuungstage pro Woche. Bitte passen Sie die Zahlen an.","")</f>
        <v/>
      </c>
      <c r="O58" s="121"/>
      <c r="P58" s="121"/>
      <c r="T58" s="108"/>
      <c r="U58" s="108"/>
      <c r="V58" s="108"/>
    </row>
    <row r="59" spans="2:22" s="49" customFormat="1" ht="5.25" customHeight="1" x14ac:dyDescent="0.2">
      <c r="B59" s="59"/>
      <c r="C59" s="67"/>
      <c r="D59" s="67"/>
      <c r="E59" s="67"/>
      <c r="F59" s="67"/>
      <c r="G59" s="67"/>
      <c r="H59" s="67"/>
    </row>
    <row r="60" spans="2:22" s="49" customFormat="1" ht="12.75" x14ac:dyDescent="0.2">
      <c r="B60" s="59"/>
      <c r="C60" s="177" t="str">
        <f>IF(AND(NOT(C44=""),M46&gt;2),"Kind 3 Geburtsdatum (dd.mm.yyyy)","")</f>
        <v/>
      </c>
      <c r="D60" s="177"/>
      <c r="E60" s="177"/>
      <c r="F60" s="177"/>
      <c r="G60" s="177"/>
      <c r="H60" s="177"/>
      <c r="I60" s="178"/>
      <c r="J60" s="178"/>
      <c r="M60" s="49" t="str">
        <f>IF(NOT(C60=""),"Kind 3 Betreuung pro Woche","")</f>
        <v/>
      </c>
      <c r="O60" s="102"/>
      <c r="P60" s="71"/>
      <c r="Q60" s="97"/>
      <c r="S60" s="97"/>
    </row>
    <row r="61" spans="2:22" s="49" customFormat="1" ht="9.9499999999999993" customHeight="1" x14ac:dyDescent="0.2">
      <c r="B61" s="59"/>
      <c r="C61" s="139"/>
      <c r="D61" s="139"/>
      <c r="E61" s="139"/>
      <c r="F61" s="139"/>
      <c r="G61" s="139"/>
      <c r="H61" s="139"/>
      <c r="I61" s="120"/>
      <c r="J61" s="120"/>
      <c r="M61" s="109" t="str">
        <f>IF(O60+Q60+S60&gt;5,"Die eingegebenen Zahlen übersteigen die Anzahl möglicher Betreuungstage pro Woche. Bitte passen Sie die Zahlen an.","")</f>
        <v/>
      </c>
      <c r="O61" s="121"/>
      <c r="P61" s="121"/>
      <c r="T61" s="108"/>
      <c r="U61" s="108"/>
      <c r="V61" s="108"/>
    </row>
    <row r="62" spans="2:22" s="49" customFormat="1" ht="5.25" customHeight="1" x14ac:dyDescent="0.2">
      <c r="B62" s="59"/>
      <c r="C62" s="67"/>
      <c r="D62" s="67"/>
      <c r="E62" s="67"/>
      <c r="F62" s="67"/>
      <c r="G62" s="67"/>
      <c r="H62" s="67"/>
      <c r="I62" s="110"/>
    </row>
    <row r="63" spans="2:22" s="49" customFormat="1" ht="12.75" x14ac:dyDescent="0.2">
      <c r="B63" s="59"/>
      <c r="C63" s="177" t="str">
        <f>IF(AND(NOT(C44=""),M46&gt;3),"Kind 4 Geburtsdatum (dd.mm.yyyy)","")</f>
        <v/>
      </c>
      <c r="D63" s="177"/>
      <c r="E63" s="177"/>
      <c r="F63" s="177"/>
      <c r="G63" s="177"/>
      <c r="H63" s="177"/>
      <c r="I63" s="178"/>
      <c r="J63" s="178"/>
      <c r="M63" s="49" t="str">
        <f>IF(NOT(C63=""),"Kind 4 Betreuung pro Woche","")</f>
        <v/>
      </c>
      <c r="O63" s="102"/>
      <c r="P63" s="71"/>
      <c r="Q63" s="119"/>
      <c r="S63" s="97"/>
    </row>
    <row r="64" spans="2:22" s="49" customFormat="1" ht="9.9499999999999993" customHeight="1" x14ac:dyDescent="0.2">
      <c r="B64" s="59"/>
      <c r="C64" s="139"/>
      <c r="D64" s="139"/>
      <c r="E64" s="139"/>
      <c r="F64" s="139"/>
      <c r="G64" s="139"/>
      <c r="H64" s="139"/>
      <c r="I64" s="120"/>
      <c r="J64" s="120"/>
      <c r="M64" s="109" t="str">
        <f>IF(O63+Q63+S63&gt;5,"Die eingegebenen Zahlen übersteigen die Anzahl möglicher Betreuungstage pro Woche. Bitte passen Sie die Zahlen an.","")</f>
        <v/>
      </c>
      <c r="O64" s="121"/>
      <c r="P64" s="121"/>
      <c r="T64" s="108"/>
      <c r="U64" s="108"/>
      <c r="V64" s="108"/>
    </row>
    <row r="65" spans="1:28" s="49" customFormat="1" ht="5.25" customHeight="1" x14ac:dyDescent="0.2"/>
    <row r="66" spans="1:28" s="49" customFormat="1" ht="12.75" x14ac:dyDescent="0.2">
      <c r="B66" s="59"/>
      <c r="C66" s="170" t="str">
        <f>IF(OR(AND(NOT(C54=""),OR(ISBLANK(I54),NOT(M55=""),AND(ISBLANK(O54),ISBLANK(Q54),ISBLANK(S54)))),AND(NOT(C57=""),OR(ISBLANK(I57),NOT(M58=""),AND(ISBLANK(O57),ISBLANK(Q57),ISBLANK(S57)))),AND(NOT(C60=""),OR(ISBLANK(I60),NOT(M61=""),AND(ISBLANK(O60),ISBLANK(Q60),ISBLANK(S60)))),AND(NOT(C63=""),OR(ISBLANK(I63),NOT(M64=""),AND(ISBLANK(O63),ISBLANK(Q63),ISBLANK(S63))))),"Bitte geben Sie das Geburtsdatum Ihrer Kinder ein und stellen Sie sicher, dass die eingegebene Betreuung nicht die Anzahl möglicher Betreuungstage pro Woche übersteigt.",IF(AND(NOT(C44=""),OR(AND(C54="",NOT(ISBLANK(I54))),AND(C57="",NOT(ISBLANK(I57))),AND(C60="",NOT(ISBLANK(I60))),AND(C63="",NOT(ISBLANK(I63))))),"Sie haben im Abschnitt Kinder ein weisses Feld ausgefüllt. Bitte löschen Sie alle Angaben, die nicht in einem blauen Feld sind.",""))</f>
        <v/>
      </c>
      <c r="D66" s="170"/>
      <c r="E66" s="170"/>
      <c r="F66" s="170"/>
      <c r="G66" s="170"/>
      <c r="H66" s="170"/>
      <c r="I66" s="170"/>
      <c r="J66" s="170"/>
      <c r="K66" s="170"/>
      <c r="L66" s="170"/>
      <c r="M66" s="170"/>
      <c r="N66" s="170"/>
      <c r="O66" s="170"/>
      <c r="P66" s="170"/>
      <c r="Q66" s="170"/>
      <c r="R66" s="170"/>
      <c r="S66" s="170"/>
      <c r="T66" s="170"/>
      <c r="U66" s="170"/>
      <c r="V66" s="170"/>
    </row>
    <row r="67" spans="1:28" s="49" customFormat="1" ht="5.25" customHeight="1" x14ac:dyDescent="0.2">
      <c r="B67" s="59"/>
      <c r="C67" s="60"/>
      <c r="D67" s="60"/>
      <c r="E67" s="60"/>
      <c r="F67" s="60"/>
      <c r="G67" s="60"/>
      <c r="H67" s="60"/>
      <c r="I67" s="60"/>
      <c r="J67" s="60"/>
      <c r="K67" s="60"/>
      <c r="L67" s="60"/>
      <c r="M67" s="60"/>
      <c r="N67" s="60"/>
      <c r="P67" s="60"/>
      <c r="Q67" s="60"/>
      <c r="R67" s="60"/>
      <c r="S67" s="60"/>
      <c r="T67" s="60"/>
      <c r="U67" s="60"/>
      <c r="V67" s="60"/>
    </row>
    <row r="68" spans="1:28" s="49" customFormat="1" ht="12.75" x14ac:dyDescent="0.2">
      <c r="B68" s="59"/>
      <c r="C68" s="57" t="str">
        <f>IF(AND(OR(C44="4) Kinder",C44="4) Kind"),C66=""),"5) Kita","")</f>
        <v/>
      </c>
    </row>
    <row r="69" spans="1:28" s="47" customFormat="1" ht="5.25" customHeight="1" x14ac:dyDescent="0.2">
      <c r="A69" s="49"/>
      <c r="B69" s="49"/>
      <c r="C69" s="49"/>
      <c r="D69" s="49"/>
      <c r="E69" s="49"/>
      <c r="F69" s="49"/>
      <c r="G69" s="49"/>
      <c r="H69" s="49"/>
      <c r="I69" s="49"/>
      <c r="J69" s="49"/>
      <c r="K69" s="49"/>
      <c r="L69" s="49"/>
      <c r="M69" s="49"/>
      <c r="N69" s="49"/>
      <c r="O69" s="49"/>
      <c r="P69" s="49"/>
      <c r="Q69" s="49"/>
      <c r="R69" s="49"/>
      <c r="S69" s="49"/>
      <c r="T69" s="49"/>
      <c r="U69" s="49"/>
      <c r="V69" s="49"/>
      <c r="W69" s="66"/>
      <c r="X69" s="66"/>
      <c r="Y69" s="66"/>
      <c r="Z69" s="66"/>
      <c r="AA69" s="66"/>
      <c r="AB69" s="66"/>
    </row>
    <row r="70" spans="1:28" s="47" customFormat="1" ht="15" customHeight="1" x14ac:dyDescent="0.2">
      <c r="A70" s="49"/>
      <c r="B70" s="49"/>
      <c r="C70" s="49"/>
      <c r="D70" s="49"/>
      <c r="E70" s="49"/>
      <c r="F70" s="49"/>
      <c r="G70" s="49"/>
      <c r="H70" s="49"/>
      <c r="I70" s="49"/>
      <c r="J70" s="49"/>
      <c r="K70" s="49"/>
      <c r="L70" s="49"/>
      <c r="N70" s="49"/>
      <c r="O70" s="166" t="str">
        <f>IF(NOT(C68=""),"Ganzer Tag (mit Mittagessen)","")</f>
        <v/>
      </c>
      <c r="P70" s="49"/>
      <c r="Q70" s="49"/>
      <c r="R70" s="49"/>
      <c r="S70" s="49"/>
      <c r="T70" s="49"/>
      <c r="U70" s="49"/>
      <c r="V70" s="49"/>
      <c r="W70" s="66"/>
      <c r="X70" s="66"/>
      <c r="Y70" s="66"/>
      <c r="Z70" s="66"/>
      <c r="AA70" s="66"/>
      <c r="AB70" s="66"/>
    </row>
    <row r="71" spans="1:28" s="47" customFormat="1" ht="15" customHeight="1" x14ac:dyDescent="0.2">
      <c r="A71" s="49"/>
      <c r="B71" s="49"/>
      <c r="C71" s="49"/>
      <c r="D71" s="49"/>
      <c r="E71" s="49"/>
      <c r="F71" s="49"/>
      <c r="G71" s="49"/>
      <c r="H71" s="49"/>
      <c r="I71" s="49"/>
      <c r="J71" s="49"/>
      <c r="K71" s="49"/>
      <c r="L71" s="49"/>
      <c r="M71" s="49"/>
      <c r="N71" s="49"/>
      <c r="O71" s="166"/>
      <c r="P71" s="49"/>
      <c r="Q71" s="166" t="str">
        <f>IF(NOT(C68=""),"Halber Tag mit Mittagessen","")</f>
        <v/>
      </c>
      <c r="R71" s="49"/>
      <c r="S71" s="166" t="str">
        <f>IF(NOT(C68=""),"Halber Tag ohne Mittagessen","")</f>
        <v/>
      </c>
      <c r="T71" s="49"/>
      <c r="U71" s="49"/>
      <c r="V71" s="49"/>
      <c r="W71" s="66"/>
      <c r="X71" s="66"/>
      <c r="Y71" s="66"/>
      <c r="Z71" s="66"/>
      <c r="AA71" s="66"/>
      <c r="AB71" s="66"/>
    </row>
    <row r="72" spans="1:28" s="47" customFormat="1" ht="15" customHeight="1" x14ac:dyDescent="0.2">
      <c r="A72" s="49"/>
      <c r="B72" s="49"/>
      <c r="C72" s="49"/>
      <c r="D72" s="49"/>
      <c r="E72" s="49"/>
      <c r="F72" s="49"/>
      <c r="G72" s="49"/>
      <c r="H72" s="49"/>
      <c r="I72" s="49"/>
      <c r="J72" s="49"/>
      <c r="K72" s="49"/>
      <c r="L72" s="49"/>
      <c r="N72" s="49"/>
      <c r="O72" s="166"/>
      <c r="P72" s="49"/>
      <c r="Q72" s="166"/>
      <c r="R72" s="49"/>
      <c r="S72" s="166"/>
      <c r="T72" s="49"/>
      <c r="U72" s="49"/>
      <c r="V72" s="49"/>
      <c r="W72" s="66"/>
      <c r="X72" s="66"/>
      <c r="Y72" s="66"/>
      <c r="Z72" s="66"/>
      <c r="AA72" s="66"/>
      <c r="AB72" s="66"/>
    </row>
    <row r="73" spans="1:28" s="47" customFormat="1" ht="15" customHeight="1" x14ac:dyDescent="0.2">
      <c r="A73" s="49"/>
      <c r="B73" s="49"/>
      <c r="E73" s="49"/>
      <c r="I73" s="168"/>
      <c r="J73" s="168"/>
      <c r="K73" s="49"/>
      <c r="L73" s="49"/>
      <c r="O73" s="166"/>
      <c r="P73" s="49"/>
      <c r="Q73" s="166"/>
      <c r="R73" s="49"/>
      <c r="S73" s="166"/>
      <c r="T73" s="49"/>
      <c r="U73" s="49"/>
      <c r="V73" s="49"/>
      <c r="W73" s="66"/>
      <c r="X73" s="66"/>
      <c r="Y73" s="66"/>
      <c r="Z73" s="66"/>
      <c r="AA73" s="66"/>
      <c r="AB73" s="66"/>
    </row>
    <row r="74" spans="1:28" s="49" customFormat="1" ht="5.25" customHeight="1" x14ac:dyDescent="0.2">
      <c r="B74" s="59"/>
    </row>
    <row r="75" spans="1:28" s="47" customFormat="1" ht="15" customHeight="1" x14ac:dyDescent="0.2">
      <c r="A75" s="49"/>
      <c r="B75" s="49"/>
      <c r="C75" s="49"/>
      <c r="D75" s="49"/>
      <c r="E75" s="49"/>
      <c r="F75" s="49"/>
      <c r="G75" s="49"/>
      <c r="H75" s="49"/>
      <c r="I75" s="49"/>
      <c r="J75" s="49" t="str">
        <f>IF(AND(NOT(C68=""),OR(AND(NOT(C54=""),NOT(Berechnung!A7&lt;=Berechnung!A10-Berechnung!C4)),AND(NOT(C57=""),NOT(Berechnung!A16&lt;=Berechnung!A19-Berechnung!C13)),AND(NOT(C60=""),NOT(Berechnung!A25&lt;=Berechnung!A28-Berechnung!C22)),AND(NOT(C63=""),NOT(Berechnung!A34&lt;=Berechnung!A37-Berechnung!C31)))),"Tarife für Kind ab 18 Monaten","")</f>
        <v/>
      </c>
      <c r="K75" s="49"/>
      <c r="L75" s="49"/>
      <c r="N75" s="49" t="str">
        <f>IF(NOT(J75=""),"CHF","")</f>
        <v/>
      </c>
      <c r="O75" s="158"/>
      <c r="P75" s="49"/>
      <c r="Q75" s="158"/>
      <c r="R75" s="49"/>
      <c r="S75" s="158"/>
      <c r="T75" s="49"/>
      <c r="U75" s="49"/>
      <c r="V75" s="49"/>
      <c r="W75" s="66"/>
      <c r="X75" s="66"/>
      <c r="Y75" s="66"/>
      <c r="Z75" s="66"/>
      <c r="AA75" s="66"/>
      <c r="AB75" s="66"/>
    </row>
    <row r="76" spans="1:28" s="49" customFormat="1" ht="11.1" customHeight="1" x14ac:dyDescent="0.2">
      <c r="B76" s="59"/>
      <c r="H76" s="185"/>
      <c r="I76" s="185"/>
      <c r="J76" s="185"/>
      <c r="K76" s="185"/>
      <c r="L76" s="185"/>
      <c r="M76" s="185"/>
      <c r="N76" s="185"/>
      <c r="O76" s="185"/>
      <c r="P76" s="185"/>
      <c r="Q76" s="185"/>
      <c r="R76" s="185"/>
      <c r="S76" s="185"/>
    </row>
    <row r="77" spans="1:28" s="49" customFormat="1" ht="11.1" customHeight="1" x14ac:dyDescent="0.2">
      <c r="H77" s="185"/>
      <c r="I77" s="185"/>
      <c r="J77" s="185"/>
      <c r="K77" s="185"/>
      <c r="L77" s="185"/>
      <c r="M77" s="185"/>
      <c r="N77" s="185"/>
      <c r="O77" s="185"/>
      <c r="P77" s="185"/>
      <c r="Q77" s="185"/>
      <c r="R77" s="185"/>
      <c r="S77" s="185"/>
    </row>
    <row r="78" spans="1:28" s="49" customFormat="1" ht="5.25" customHeight="1" x14ac:dyDescent="0.2">
      <c r="B78" s="59"/>
    </row>
    <row r="79" spans="1:28" s="47" customFormat="1" ht="15" customHeight="1" x14ac:dyDescent="0.2">
      <c r="A79" s="49"/>
      <c r="B79" s="49"/>
      <c r="C79" s="49"/>
      <c r="D79" s="49"/>
      <c r="E79" s="49"/>
      <c r="F79" s="49"/>
      <c r="G79" s="49"/>
      <c r="H79" s="49"/>
      <c r="I79" s="49"/>
      <c r="J79" s="49" t="str">
        <f>IF(AND(NOT(C68=""),OR(AND(NOT(C54=""),Berechnung!A7&lt;=Berechnung!A10-Berechnung!C4),AND(NOT(C57=""),Berechnung!A16&lt;=Berechnung!A19-Berechnung!C13),AND(NOT(C60=""),Berechnung!A25&lt;=Berechnung!A28-Berechnung!C22),AND(NOT(C63=""),Berechnung!A34&lt;=Berechnung!A37-Berechnung!C31))),"Tarife für Kind unter 18 Monaten","")</f>
        <v/>
      </c>
      <c r="K79" s="49"/>
      <c r="L79" s="49"/>
      <c r="N79" s="49" t="str">
        <f>IF(NOT(J79=""),"CHF","")</f>
        <v/>
      </c>
      <c r="O79" s="158"/>
      <c r="P79" s="49"/>
      <c r="Q79" s="158"/>
      <c r="R79" s="49"/>
      <c r="S79" s="158"/>
      <c r="T79" s="49"/>
      <c r="U79" s="49"/>
      <c r="V79" s="49"/>
      <c r="W79" s="66"/>
      <c r="X79" s="66"/>
      <c r="Y79" s="66"/>
      <c r="Z79" s="66"/>
      <c r="AA79" s="66"/>
      <c r="AB79" s="66"/>
    </row>
    <row r="80" spans="1:28" s="47" customFormat="1" ht="11.1" customHeight="1" x14ac:dyDescent="0.2">
      <c r="A80" s="49"/>
      <c r="B80" s="49"/>
      <c r="C80" s="49"/>
      <c r="D80" s="49"/>
      <c r="E80" s="49"/>
      <c r="F80" s="49"/>
      <c r="G80" s="49"/>
      <c r="H80" s="185"/>
      <c r="I80" s="185"/>
      <c r="J80" s="185"/>
      <c r="K80" s="185"/>
      <c r="L80" s="185"/>
      <c r="M80" s="185"/>
      <c r="N80" s="185"/>
      <c r="O80" s="185"/>
      <c r="P80" s="185"/>
      <c r="Q80" s="185"/>
      <c r="R80" s="185"/>
      <c r="S80" s="185"/>
      <c r="T80" s="49"/>
      <c r="U80" s="49"/>
      <c r="V80" s="49"/>
      <c r="W80" s="66"/>
      <c r="X80" s="66"/>
      <c r="Y80" s="66"/>
      <c r="Z80" s="66"/>
      <c r="AA80" s="66"/>
      <c r="AB80" s="66"/>
    </row>
    <row r="81" spans="1:28" s="49" customFormat="1" ht="11.1" customHeight="1" x14ac:dyDescent="0.2">
      <c r="B81" s="59"/>
      <c r="H81" s="185"/>
      <c r="I81" s="185"/>
      <c r="J81" s="185"/>
      <c r="K81" s="185"/>
      <c r="L81" s="185"/>
      <c r="M81" s="185"/>
      <c r="N81" s="185"/>
      <c r="O81" s="185"/>
      <c r="P81" s="185"/>
      <c r="Q81" s="185"/>
      <c r="R81" s="185"/>
      <c r="S81" s="185"/>
    </row>
    <row r="82" spans="1:28" s="49" customFormat="1" ht="5.25" customHeight="1" x14ac:dyDescent="0.2">
      <c r="B82" s="59"/>
    </row>
    <row r="83" spans="1:28" s="49" customFormat="1" ht="15" customHeight="1" x14ac:dyDescent="0.2">
      <c r="B83" s="59"/>
      <c r="I83" s="168"/>
      <c r="J83" s="168"/>
    </row>
    <row r="84" spans="1:28" s="49" customFormat="1" ht="5.25" customHeight="1" x14ac:dyDescent="0.2">
      <c r="B84" s="59"/>
    </row>
    <row r="85" spans="1:28" s="49" customFormat="1" ht="12.75" x14ac:dyDescent="0.2">
      <c r="C85" s="171" t="str">
        <f>IF(AND(OR(AND(NOT(J75=""),ISBLANK(O75),ISBLANK(Q75),ISBLANK(S75)),AND(NOT(J79=""),ISBLANK(O79),ISBLANK(Q79),ISBLANK(S79))),NOT(C68="")),"Bitte füllen Sie alle blauen Felder aus.","")</f>
        <v/>
      </c>
      <c r="D85" s="171"/>
      <c r="E85" s="171"/>
      <c r="F85" s="171"/>
      <c r="G85" s="171"/>
      <c r="H85" s="171"/>
      <c r="I85" s="171"/>
      <c r="J85" s="171"/>
      <c r="K85" s="171"/>
      <c r="L85" s="171"/>
      <c r="M85" s="171"/>
      <c r="N85" s="171"/>
      <c r="O85" s="171"/>
      <c r="P85" s="171"/>
      <c r="Q85" s="171"/>
      <c r="R85" s="171"/>
      <c r="S85" s="171"/>
      <c r="T85" s="171"/>
      <c r="U85" s="171"/>
      <c r="V85" s="171"/>
    </row>
    <row r="86" spans="1:28" s="49" customFormat="1" ht="5.25" customHeight="1" x14ac:dyDescent="0.2">
      <c r="B86" s="111"/>
    </row>
    <row r="87" spans="1:28" s="49" customFormat="1" ht="5.25" customHeight="1" x14ac:dyDescent="0.2">
      <c r="B87" s="111"/>
    </row>
    <row r="88" spans="1:28" s="49" customFormat="1" ht="5.25" customHeight="1" x14ac:dyDescent="0.2">
      <c r="C88" s="60"/>
      <c r="D88" s="60"/>
      <c r="E88" s="60"/>
      <c r="F88" s="60"/>
      <c r="G88" s="60"/>
      <c r="H88" s="60"/>
      <c r="I88" s="60"/>
      <c r="J88" s="60"/>
      <c r="K88" s="60"/>
      <c r="L88" s="60"/>
      <c r="M88" s="60"/>
      <c r="N88" s="60"/>
      <c r="O88" s="60"/>
      <c r="P88" s="60"/>
      <c r="Q88" s="60"/>
      <c r="R88" s="60"/>
      <c r="S88" s="60"/>
      <c r="T88" s="60"/>
      <c r="U88" s="60"/>
      <c r="V88" s="60"/>
    </row>
    <row r="89" spans="1:28" s="47" customFormat="1" ht="12.75" customHeight="1" x14ac:dyDescent="0.2">
      <c r="A89" s="49"/>
      <c r="B89" s="65"/>
      <c r="C89" s="57" t="str">
        <f>IF(AND(C68="5) Kita",C85=""),"Massgebendes Einkommen","")</f>
        <v/>
      </c>
      <c r="D89" s="124"/>
      <c r="E89" s="124"/>
      <c r="F89" s="124"/>
      <c r="G89" s="124"/>
      <c r="H89" s="124"/>
      <c r="I89" s="124"/>
      <c r="J89" s="124"/>
      <c r="K89" s="124"/>
      <c r="L89" s="124"/>
      <c r="M89" s="124"/>
      <c r="N89" s="124"/>
      <c r="O89" s="124"/>
      <c r="P89" s="124"/>
      <c r="Q89" s="124"/>
      <c r="R89" s="124"/>
      <c r="S89" s="124"/>
      <c r="T89" s="124"/>
      <c r="U89" s="124"/>
      <c r="V89" s="124"/>
      <c r="W89" s="66"/>
      <c r="X89" s="66"/>
      <c r="Y89" s="66"/>
      <c r="Z89" s="66"/>
      <c r="AA89" s="66"/>
      <c r="AB89" s="66"/>
    </row>
    <row r="90" spans="1:28" s="47" customFormat="1" ht="5.25" customHeight="1" x14ac:dyDescent="0.2">
      <c r="A90" s="49"/>
      <c r="B90" s="49"/>
      <c r="C90" s="49"/>
      <c r="D90" s="49"/>
      <c r="E90" s="49"/>
      <c r="F90" s="49"/>
      <c r="G90" s="49"/>
      <c r="H90" s="49"/>
      <c r="I90" s="49"/>
      <c r="J90" s="49"/>
      <c r="K90" s="49"/>
      <c r="L90" s="49"/>
      <c r="M90" s="49"/>
      <c r="N90" s="182" t="str">
        <f>IF(M91&gt;120000,"Ab einem massgebenden Einkommen von CHF 120'000 werden keine Betreuungszuschüsse mehr entrichtet.","")</f>
        <v/>
      </c>
      <c r="O90" s="182"/>
      <c r="P90" s="182"/>
      <c r="Q90" s="182"/>
      <c r="R90" s="182"/>
      <c r="S90" s="182"/>
      <c r="T90" s="182"/>
      <c r="U90" s="182"/>
      <c r="V90" s="182"/>
      <c r="W90" s="66"/>
      <c r="X90" s="66"/>
      <c r="Y90" s="66"/>
      <c r="Z90" s="66"/>
      <c r="AA90" s="66"/>
      <c r="AB90" s="66"/>
    </row>
    <row r="91" spans="1:28" s="47" customFormat="1" ht="12.75" customHeight="1" x14ac:dyDescent="0.2">
      <c r="A91" s="49"/>
      <c r="B91" s="49"/>
      <c r="C91" s="49" t="str">
        <f>IF(NOT(M91=0),"Massgebendes Einkommen","")</f>
        <v/>
      </c>
      <c r="D91" s="67"/>
      <c r="E91" s="67"/>
      <c r="F91" s="67"/>
      <c r="G91" s="67"/>
      <c r="H91" s="67"/>
      <c r="J91" s="83"/>
      <c r="K91" s="49"/>
      <c r="L91" s="49"/>
      <c r="M91" s="116">
        <f>M92+M93-M94</f>
        <v>0</v>
      </c>
      <c r="N91" s="182"/>
      <c r="O91" s="182"/>
      <c r="P91" s="182"/>
      <c r="Q91" s="182"/>
      <c r="R91" s="182"/>
      <c r="S91" s="182"/>
      <c r="T91" s="182"/>
      <c r="U91" s="182"/>
      <c r="V91" s="182"/>
      <c r="W91" s="66"/>
      <c r="X91" s="66"/>
      <c r="Y91" s="66"/>
      <c r="Z91" s="66"/>
      <c r="AA91" s="66"/>
      <c r="AB91" s="66"/>
    </row>
    <row r="92" spans="1:28" s="47" customFormat="1" ht="12.75" customHeight="1" x14ac:dyDescent="0.2">
      <c r="A92" s="49"/>
      <c r="B92" s="49"/>
      <c r="C92" s="81" t="str">
        <f>IF(NOT(C89=""),"Steuerbares Einkommen","")</f>
        <v/>
      </c>
      <c r="D92" s="81"/>
      <c r="E92" s="81"/>
      <c r="F92" s="81"/>
      <c r="G92" s="81"/>
      <c r="H92" s="81"/>
      <c r="I92" s="133"/>
      <c r="J92" s="134"/>
      <c r="K92" s="134"/>
      <c r="L92" s="134"/>
      <c r="M92" s="135">
        <f>IF(AND(C89="Massgebendes Einkommen",NOT(C24="")),I24,IF(AND(C89="Massgebendes Einkommen",NOT(C26="")),I26,IF(AND(C89="Massgebendes Einkommen",NOT(C28=""),NOT(C31="")),I28+I31,IF(AND(C89="Massgebendes Einkommen",NOT(C28=""),NOT(C37="")),I28+I37,IF(AND(C89="Massgebendes Einkommen",NOT(C34=""),NOT(C37="")),I34+I37,IF(AND(C89="Massgebendes Einkommen",NOT(C31=""),NOT(C34="")),I31+I34,0))))))</f>
        <v>0</v>
      </c>
      <c r="N92" s="49"/>
      <c r="O92" s="49"/>
      <c r="P92" s="49"/>
      <c r="Q92" s="49"/>
      <c r="R92" s="49"/>
      <c r="S92" s="49"/>
      <c r="T92" s="49"/>
      <c r="U92" s="49"/>
      <c r="V92" s="49"/>
      <c r="W92" s="66"/>
      <c r="X92" s="66"/>
      <c r="Y92" s="66"/>
      <c r="Z92" s="66"/>
      <c r="AA92" s="66"/>
      <c r="AB92" s="66"/>
    </row>
    <row r="93" spans="1:28" s="47" customFormat="1" ht="12.75" customHeight="1" x14ac:dyDescent="0.2">
      <c r="A93" s="49"/>
      <c r="B93" s="49"/>
      <c r="C93" s="81" t="str">
        <f>IF(AND(OR(AND(NOT(N24=""),O24&gt;100000),AND(NOT(O28=""),P28&gt;100000),AND(NOT(O31=""),P31&gt;100000)),C89="Massgebendes Einkommen"),"10 % des steuerbaren Vermögens über CHF 100'000","")</f>
        <v/>
      </c>
      <c r="D93" s="81"/>
      <c r="E93" s="81"/>
      <c r="F93" s="81"/>
      <c r="G93" s="81"/>
      <c r="H93" s="81"/>
      <c r="I93" s="133"/>
      <c r="J93" s="134"/>
      <c r="K93" s="81"/>
      <c r="L93" s="81"/>
      <c r="M93" s="135">
        <f>IF(AND(NOT(C93=""),P28&gt;100000,P31&lt;100000),0.1*(P28-100000),IF(AND(NOT(C93=""),P28&lt;100000,P31&gt;100000),0.1*(P31-100000),IF(AND(NOT(C93=""),P28&gt;100000,P31&gt;100000),0.1*((P28-100000)+(P31-100000)),IF(AND(NOT(C93=""),O24&gt;100000),0.1*(O24-100000),0))))</f>
        <v>0</v>
      </c>
      <c r="N93" s="62"/>
      <c r="O93" s="49"/>
      <c r="P93" s="49"/>
      <c r="Q93" s="49"/>
      <c r="R93" s="49"/>
      <c r="S93" s="49"/>
      <c r="T93" s="49"/>
      <c r="U93" s="49"/>
      <c r="V93" s="49"/>
      <c r="W93" s="66"/>
      <c r="X93" s="66"/>
      <c r="Y93" s="66"/>
      <c r="Z93" s="66"/>
      <c r="AA93" s="66"/>
      <c r="AB93" s="66"/>
    </row>
    <row r="94" spans="1:28" s="47" customFormat="1" ht="12.75" customHeight="1" x14ac:dyDescent="0.2">
      <c r="A94" s="49"/>
      <c r="B94" s="49"/>
      <c r="C94" s="81" t="str">
        <f>IF(NOT(M94=0),"40 % des Bruttoeinkommens","")</f>
        <v/>
      </c>
      <c r="D94" s="81"/>
      <c r="E94" s="81"/>
      <c r="F94" s="81"/>
      <c r="G94" s="81"/>
      <c r="H94" s="81"/>
      <c r="I94" s="133"/>
      <c r="J94" s="134"/>
      <c r="K94" s="81"/>
      <c r="L94" s="81"/>
      <c r="M94" s="135">
        <f>IF(AND(NOT(C89=""),I34&gt;0,I37&lt;=0),I34*0.4,IF(AND(NOT(C89=""),I34&lt;=0,I37&gt;0),I37*0.4,IF(AND(NOT(C89=""),I34&gt;0,I37&gt;0),(I34+I37)*0.4,IF(AND(NOT(C89=""),I26&gt;0),0.4*I26,0))))</f>
        <v>0</v>
      </c>
      <c r="N94" s="62"/>
      <c r="O94" s="49"/>
      <c r="P94" s="49"/>
      <c r="Q94" s="49"/>
      <c r="R94" s="49"/>
      <c r="S94" s="49"/>
      <c r="T94" s="49"/>
      <c r="U94" s="49"/>
      <c r="V94" s="49"/>
      <c r="W94" s="66"/>
      <c r="X94" s="66"/>
      <c r="Y94" s="66"/>
      <c r="Z94" s="66"/>
      <c r="AA94" s="66"/>
      <c r="AB94" s="66"/>
    </row>
    <row r="95" spans="1:28" s="47" customFormat="1" ht="12.75" customHeight="1" x14ac:dyDescent="0.2">
      <c r="A95" s="49"/>
      <c r="B95" s="49"/>
      <c r="W95" s="66"/>
      <c r="X95" s="66"/>
      <c r="Y95" s="66"/>
      <c r="Z95" s="66"/>
      <c r="AA95" s="66"/>
      <c r="AB95" s="66"/>
    </row>
    <row r="96" spans="1:28" s="47" customFormat="1" ht="12.75" customHeight="1" x14ac:dyDescent="0.2">
      <c r="A96" s="49"/>
      <c r="B96" s="49"/>
      <c r="C96" s="67"/>
      <c r="D96" s="67"/>
      <c r="E96" s="67"/>
      <c r="F96" s="67"/>
      <c r="G96" s="67"/>
      <c r="H96" s="67"/>
      <c r="I96" s="68"/>
      <c r="J96" s="49"/>
      <c r="K96" s="49"/>
      <c r="L96" s="49"/>
      <c r="M96" s="64"/>
      <c r="W96" s="66"/>
      <c r="X96" s="66"/>
      <c r="Y96" s="66"/>
      <c r="Z96" s="66"/>
      <c r="AA96" s="66"/>
      <c r="AB96" s="66"/>
    </row>
    <row r="97" spans="1:28" s="47" customFormat="1" ht="13.5" customHeight="1" x14ac:dyDescent="0.2">
      <c r="A97" s="49"/>
      <c r="B97" s="49"/>
      <c r="C97" s="69"/>
      <c r="D97" s="69"/>
      <c r="E97" s="69"/>
      <c r="F97" s="69"/>
      <c r="G97" s="69"/>
      <c r="H97" s="69"/>
      <c r="I97" s="69"/>
      <c r="J97" s="69"/>
      <c r="K97" s="69"/>
      <c r="L97" s="69"/>
      <c r="M97" s="70"/>
      <c r="N97" s="69"/>
      <c r="O97" s="69"/>
      <c r="P97" s="69"/>
      <c r="Q97" s="69"/>
      <c r="R97" s="69"/>
      <c r="S97" s="69"/>
      <c r="T97" s="69"/>
      <c r="U97" s="69"/>
      <c r="V97" s="69"/>
      <c r="W97" s="66"/>
      <c r="X97" s="66"/>
      <c r="Y97" s="66"/>
      <c r="Z97" s="66"/>
      <c r="AA97" s="66"/>
      <c r="AB97" s="66"/>
    </row>
    <row r="98" spans="1:28" s="74" customFormat="1" ht="10.5" customHeight="1" x14ac:dyDescent="0.2">
      <c r="A98" s="71"/>
      <c r="B98" s="71"/>
      <c r="C98" s="76" t="str">
        <f>IF(NOT(C89=""),"Provisorische Berechnung der Betreuungszuschüsse","")</f>
        <v/>
      </c>
      <c r="D98" s="72"/>
      <c r="E98" s="72"/>
      <c r="F98" s="72"/>
      <c r="G98" s="72"/>
      <c r="H98" s="72"/>
      <c r="I98" s="72"/>
      <c r="J98" s="72"/>
      <c r="K98" s="72"/>
      <c r="L98" s="72"/>
      <c r="M98" s="72"/>
      <c r="N98" s="72"/>
      <c r="O98" s="72"/>
      <c r="P98" s="72"/>
      <c r="Q98" s="72"/>
      <c r="R98" s="72"/>
      <c r="S98" s="72"/>
      <c r="T98" s="72"/>
      <c r="U98" s="72"/>
      <c r="V98" s="72"/>
      <c r="W98" s="73"/>
      <c r="X98" s="73"/>
      <c r="Y98" s="73"/>
      <c r="Z98" s="73"/>
      <c r="AA98" s="73"/>
      <c r="AB98" s="73"/>
    </row>
    <row r="99" spans="1:28" s="47" customFormat="1" ht="5.25" customHeight="1" x14ac:dyDescent="0.2">
      <c r="A99" s="49"/>
      <c r="B99" s="49"/>
      <c r="C99" s="69"/>
      <c r="D99" s="75"/>
      <c r="E99" s="75"/>
      <c r="F99" s="75"/>
      <c r="G99" s="75"/>
      <c r="H99" s="75"/>
      <c r="I99" s="75"/>
      <c r="J99" s="75"/>
      <c r="K99" s="75"/>
      <c r="L99" s="75"/>
      <c r="M99" s="75"/>
      <c r="N99" s="75"/>
      <c r="O99" s="75"/>
      <c r="P99" s="75"/>
      <c r="Q99" s="75"/>
      <c r="R99" s="75"/>
      <c r="S99" s="75"/>
      <c r="T99" s="75"/>
      <c r="U99" s="75"/>
      <c r="V99" s="75"/>
      <c r="W99" s="66"/>
      <c r="X99" s="66"/>
      <c r="Y99" s="66"/>
      <c r="Z99" s="66"/>
      <c r="AA99" s="66"/>
      <c r="AB99" s="66"/>
    </row>
    <row r="100" spans="1:28" s="47" customFormat="1" ht="12.75" customHeight="1" x14ac:dyDescent="0.25">
      <c r="A100" s="49"/>
      <c r="D100" s="77"/>
      <c r="E100" s="77"/>
      <c r="F100" s="77"/>
      <c r="G100" s="131"/>
      <c r="H100" s="174" t="str">
        <f>IF(NOT(C98=""),"Ganzer Tag","")</f>
        <v/>
      </c>
      <c r="I100" s="174" t="str">
        <f>IF(NOT(C98=""),"Halbtag mit ME","")</f>
        <v/>
      </c>
      <c r="J100" s="174" t="str">
        <f>IF(NOT(C98=""),"Halbtag ohne ME","")</f>
        <v/>
      </c>
      <c r="K100" s="71"/>
      <c r="L100" s="71"/>
      <c r="M100" s="71"/>
      <c r="N100" s="71"/>
      <c r="O100" s="71"/>
      <c r="P100" s="71"/>
      <c r="Q100" s="71"/>
      <c r="R100" s="71"/>
      <c r="S100" s="71"/>
      <c r="T100" s="71"/>
      <c r="U100" s="71"/>
      <c r="V100" s="71"/>
      <c r="W100" s="66"/>
      <c r="X100" s="66"/>
      <c r="Y100" s="66"/>
      <c r="Z100" s="66"/>
      <c r="AA100" s="66"/>
      <c r="AB100" s="66"/>
    </row>
    <row r="101" spans="1:28" s="47" customFormat="1" ht="5.25" customHeight="1" x14ac:dyDescent="0.25">
      <c r="A101" s="49"/>
      <c r="C101" s="76"/>
      <c r="D101" s="77"/>
      <c r="E101" s="77"/>
      <c r="F101" s="77"/>
      <c r="G101" s="131"/>
      <c r="H101" s="174"/>
      <c r="I101" s="174"/>
      <c r="J101" s="174"/>
      <c r="K101" s="71"/>
      <c r="L101" s="71"/>
      <c r="M101" s="71"/>
      <c r="N101" s="71"/>
      <c r="O101" s="71"/>
      <c r="P101" s="71"/>
      <c r="Q101" s="71"/>
      <c r="R101" s="71"/>
      <c r="S101" s="71"/>
      <c r="T101" s="71"/>
      <c r="U101" s="71"/>
      <c r="V101" s="71"/>
      <c r="W101" s="66"/>
      <c r="X101" s="66"/>
      <c r="Y101" s="66"/>
      <c r="Z101" s="66"/>
      <c r="AA101" s="66"/>
      <c r="AB101" s="66"/>
    </row>
    <row r="102" spans="1:28" s="47" customFormat="1" ht="15.6" customHeight="1" x14ac:dyDescent="0.2">
      <c r="B102" s="49"/>
      <c r="C102" s="78"/>
      <c r="D102" s="49"/>
      <c r="E102" s="49"/>
      <c r="H102" s="174"/>
      <c r="I102" s="174"/>
      <c r="J102" s="174"/>
      <c r="K102" s="79"/>
      <c r="L102" s="79"/>
      <c r="M102" s="172" t="str">
        <f>IF(NOT(C98=""),"Betreuungszuschüsse pro Woche","")</f>
        <v/>
      </c>
      <c r="O102" s="169" t="str">
        <f>IF(NOT(C98=""),"Betreuungszuschüsse pro Monat","")</f>
        <v/>
      </c>
      <c r="P102" s="169"/>
      <c r="Q102" s="169"/>
      <c r="R102" s="138"/>
      <c r="S102" s="80"/>
      <c r="T102" s="80"/>
      <c r="U102" s="80"/>
      <c r="V102" s="80"/>
    </row>
    <row r="103" spans="1:28" s="47" customFormat="1" ht="6.6" customHeight="1" x14ac:dyDescent="0.2">
      <c r="B103" s="49"/>
      <c r="C103" s="49"/>
      <c r="D103" s="49"/>
      <c r="E103" s="49"/>
      <c r="F103" s="49"/>
      <c r="G103" s="129"/>
      <c r="H103" s="129"/>
      <c r="I103" s="132"/>
      <c r="J103" s="49"/>
      <c r="K103" s="49"/>
      <c r="L103" s="49"/>
      <c r="M103" s="172"/>
      <c r="O103" s="169"/>
      <c r="P103" s="169"/>
      <c r="Q103" s="169"/>
      <c r="R103" s="138"/>
      <c r="S103" s="81"/>
      <c r="T103" s="81"/>
      <c r="U103" s="81"/>
      <c r="V103" s="81"/>
    </row>
    <row r="104" spans="1:28" s="47" customFormat="1" ht="12.75" x14ac:dyDescent="0.2">
      <c r="B104" s="49"/>
      <c r="C104" s="49" t="str">
        <f>IF(AND(NOT(C98=""),M46&gt;0),"Kind 1","")</f>
        <v/>
      </c>
      <c r="D104" s="49"/>
      <c r="E104" s="136" t="e">
        <f>IF(#REF!="Kindertagesstätte","%",IF(#REF!="Tagesfamilienorganisation","Std.",""))</f>
        <v>#REF!</v>
      </c>
      <c r="H104" s="153">
        <f>IF(AND(Berechnung!A7&lt;=Berechnung!A10-Berechnung!C4,OR(AND(ISBLANK(O79),0&lt;O54),AND(ISBLANK(O54),0&lt;O79))),0,IF(AND(NOT(Berechnung!A7&lt;=Berechnung!A10-Berechnung!C4),OR(AND(ISBLANK(O75),0&lt;O54),AND(ISBLANK(O54),0&lt;O75))),0,O54))</f>
        <v>0</v>
      </c>
      <c r="I104" s="153">
        <f>IF(AND(Berechnung!A7&lt;=Berechnung!A10-Berechnung!C4,OR(AND(ISBLANK(Q79),0&lt;Q54),AND(ISBLANK(Q54),0&lt;Q79))),0,IF(AND(NOT(Berechnung!A7&lt;=Berechnung!A10-Berechnung!C4),OR(AND(ISBLANK(Q75),0&lt;Q54),AND(ISBLANK(Q54),0&lt;Q75))),0,Q54))</f>
        <v>0</v>
      </c>
      <c r="J104" s="154">
        <f>IF(AND(Berechnung!A7&lt;=Berechnung!A10-Berechnung!C4,OR(AND(ISBLANK(S79),0&lt;S54),AND(ISBLANK(S54),0&lt;S79))),0,IF(AND(NOT(Berechnung!A7&lt;=Berechnung!A10-Berechnung!C4),OR(AND(ISBLANK(S75),0&lt;S54),AND(ISBLANK(S54),0&lt;S75))),0,S54))</f>
        <v>0</v>
      </c>
      <c r="M104" s="115">
        <f>ROUND(IF(AND(NOT(C104=""),Berechnung!A7&lt;=Berechnung!A10-Berechnung!C4,OR(Berechnung!L6=143,Berechnung!M6=100.1,Berechnung!N6=71.5)),(VLOOKUP(Betreuungszuschussrechner!M91,Berechnung!F12:Q26,6,TRUE)*(Berechnung!L6*H104+Berechnung!M6*I104+Berechnung!N6*J104)),IF(AND(NOT(C104=""),Berechnung!A7&lt;=Berechnung!A10-Berechnung!C4,OR(AND(NOT(Berechnung!L6=0),Berechnung!L6&lt;143),AND(NOT(Berechnung!M6=0),Berechnung!M6&lt;100.1),AND(NOT(Berechnung!N6=0),Berechnung!N6&lt;71.5))),(VLOOKUP(Betreuungszuschussrechner!M91,Berechnung!F12:Q26,10,TRUE)*Betreuungszuschussrechner!H104)+(VLOOKUP(Betreuungszuschussrechner!M91,Berechnung!F12:Q26,11,TRUE)*Betreuungszuschussrechner!I104)+(VLOOKUP(Betreuungszuschussrechner!M91,Berechnung!F12:Q26,12,TRUE)*Betreuungszuschussrechner!J104),IF(AND(NOT(C104=""),Berechnung!A7&gt;Berechnung!A10-Berechnung!C4,OR(Berechnung!L5=130,Berechnung!M5=91,Berechnung!N5=65)),(VLOOKUP(Betreuungszuschussrechner!M91,Berechnung!F12:Q26,6,TRUE)*(Berechnung!L5*H104+Berechnung!M5*I104+Berechnung!N5*J104)),IF(AND(NOT(C104=""),Berechnung!A7&gt;Berechnung!A10-Berechnung!C4,OR(AND(NOT(Berechnung!L5=0),Berechnung!L5&lt;130),AND(NOT(Berechnung!M5=0),Berechnung!M5&lt;91),AND(NOT(Berechnung!N5=0),Berechnung!N5&lt;65))),(VLOOKUP(Betreuungszuschussrechner!M91,Berechnung!F12:Q26,7,TRUE)*Betreuungszuschussrechner!H104)+(VLOOKUP(Betreuungszuschussrechner!M91,Berechnung!F12:Q26,8,TRUE)*Betreuungszuschussrechner!I104)+(VLOOKUP(Betreuungszuschussrechner!M91,Berechnung!F12:Q26,9,TRUE)*Betreuungszuschussrechner!J104),0)))),1)</f>
        <v>0</v>
      </c>
      <c r="O104" s="183">
        <f>M104*4</f>
        <v>0</v>
      </c>
      <c r="P104" s="183"/>
      <c r="Q104" s="183"/>
      <c r="R104" s="101"/>
      <c r="S104" s="62" t="str">
        <f>IF(Berechnung!A7&lt;=Berechnung!A10-Berechnung!C4,"Tarif für Kind unter 18 Monate","Tarif für Kind ab 18 Monaten")</f>
        <v>Tarif für Kind unter 18 Monate</v>
      </c>
      <c r="T104" s="82"/>
      <c r="U104" s="82"/>
      <c r="V104" s="82"/>
    </row>
    <row r="105" spans="1:28" s="47" customFormat="1" ht="12.75" x14ac:dyDescent="0.2">
      <c r="B105" s="49"/>
      <c r="C105" s="49" t="str">
        <f>IF(AND(NOT(C98=""),M46&gt;1),"Kind 2","")</f>
        <v/>
      </c>
      <c r="D105" s="49"/>
      <c r="E105" s="49" t="e">
        <f>IF(#REF!="Kindertagesstätte","%",IF(#REF!="Tagesfamilienorganisation","Std.",""))</f>
        <v>#REF!</v>
      </c>
      <c r="G105" s="112"/>
      <c r="H105" s="155">
        <f>IF(AND(Berechnung!A16&lt;=Berechnung!A19-Berechnung!C13,OR(AND(ISBLANK(O79),0&lt;O57),AND(ISBLANK(O57),0&lt;O79))),0,IF(AND(NOT(Berechnung!A16&lt;=Berechnung!A19-Berechnung!C13),OR(AND(ISBLANK(O75),0&lt;O57),AND(ISBLANK(O57),0&lt;O75))),0,O57))</f>
        <v>0</v>
      </c>
      <c r="I105" s="156">
        <f>IF(AND(Berechnung!A16&lt;=Berechnung!A19-Berechnung!C13,OR(AND(ISBLANK(Q79),0&lt;Q57),AND(ISBLANK(Q57),0&lt;Q79))),0,IF(AND(NOT(Berechnung!A16&lt;=Berechnung!A19-Berechnung!C13),OR(AND(ISBLANK(Q75),0&lt;Q57),AND(ISBLANK(Q57),0&lt;Q75))),0,Q57))</f>
        <v>0</v>
      </c>
      <c r="J105" s="156">
        <f>IF(AND(Berechnung!A16&lt;=Berechnung!A19-Berechnung!C13,OR(AND(ISBLANK(S79),0&lt;S57),AND(ISBLANK(S57),0&lt;S79))),0,IF(AND(NOT(Berechnung!A16&lt;=Berechnung!A19-Berechnung!C13),OR(AND(ISBLANK(S75),0&lt;S57),AND(ISBLANK(S57),0&lt;S75))),0,S57))</f>
        <v>0</v>
      </c>
      <c r="M105" s="152">
        <f>ROUND(IF(AND(NOT(C105=""),Berechnung!A16&lt;=Berechnung!A19-Berechnung!C13,OR(Berechnung!L6=143,Berechnung!M6=100.1,Berechnung!N6=71.5)),(VLOOKUP(Betreuungszuschussrechner!M91,Berechnung!F12:Q26,6,TRUE)*(Berechnung!L6*H105+Berechnung!M6*I105+Berechnung!N6*J105)),IF(AND(NOT(C105=""),Berechnung!A16&lt;=Berechnung!A19-Berechnung!C13,OR(AND(NOT(Berechnung!L6=0),Berechnung!L6&lt;143),AND(NOT(Berechnung!M6=0),Berechnung!M6&lt;100.1),AND(NOT(Berechnung!N6=0),Berechnung!N6&lt;71.5))),(VLOOKUP(Betreuungszuschussrechner!M91,Berechnung!F12:Q26,10,TRUE)*Betreuungszuschussrechner!H105)+(VLOOKUP(Betreuungszuschussrechner!M91,Berechnung!F12:Q26,11,TRUE)*Betreuungszuschussrechner!I105)+(VLOOKUP(Betreuungszuschussrechner!M91,Berechnung!F12:Q26,12,TRUE)*Betreuungszuschussrechner!J105),IF(AND(NOT(C105=""),Berechnung!A16&gt;Berechnung!A19-Berechnung!C13,OR(Berechnung!L5=130,Berechnung!M5=91,Berechnung!N5=65)),(VLOOKUP(Betreuungszuschussrechner!M91,Berechnung!F12:Q26,6,TRUE)*(Berechnung!L5*H105+Berechnung!M5*I105+Berechnung!N5*J105)),IF(AND(NOT(C105=""),Berechnung!A16&gt;Berechnung!A19-Berechnung!C13,OR(AND(NOT(Berechnung!L5=0),Berechnung!L5&lt;130),AND(NOT(Berechnung!M5=0),Berechnung!M5&lt;91),AND(NOT(Berechnung!N5=0),Berechnung!N5&lt;65))),(VLOOKUP(Betreuungszuschussrechner!M91,Berechnung!F12:Q26,7,TRUE)*Betreuungszuschussrechner!H105)+(VLOOKUP(Betreuungszuschussrechner!M91,Berechnung!F12:Q26,8,TRUE)*Betreuungszuschussrechner!I105)+(VLOOKUP(Betreuungszuschussrechner!M91,Berechnung!F12:Q26,9,TRUE)*Betreuungszuschussrechner!J105),0)))),1)</f>
        <v>0</v>
      </c>
      <c r="O105" s="183">
        <f>M105*4</f>
        <v>0</v>
      </c>
      <c r="P105" s="183"/>
      <c r="Q105" s="183"/>
      <c r="R105" s="101"/>
      <c r="S105" s="62" t="str">
        <f>IF(Berechnung!A16&lt;=Berechnung!A19-Berechnung!C13,"Tarif für Kind unter 18 Monate","Tarif für Kind ab 18 Monaten")</f>
        <v>Tarif für Kind unter 18 Monate</v>
      </c>
      <c r="T105" s="82"/>
      <c r="U105" s="82"/>
      <c r="V105" s="82"/>
    </row>
    <row r="106" spans="1:28" s="47" customFormat="1" ht="12.75" x14ac:dyDescent="0.2">
      <c r="B106" s="49"/>
      <c r="C106" s="49" t="str">
        <f>IF(AND(NOT(C98=""),M46&gt;2),"Kind 3","")</f>
        <v/>
      </c>
      <c r="D106" s="49"/>
      <c r="E106" s="136" t="e">
        <f>IF(#REF!="Kindertagesstätte","%",IF(#REF!="Tagesfamilienorganisation","Std.",""))</f>
        <v>#REF!</v>
      </c>
      <c r="G106" s="112"/>
      <c r="H106" s="155">
        <f>IF(AND(Berechnung!A25&lt;=Berechnung!A28-Berechnung!C22,OR(AND(ISBLANK(O79),0&lt;O60),AND(ISBLANK(O60),0&lt;O79))),0,IF(AND(NOT(Berechnung!A25&lt;=Berechnung!A28-Berechnung!C22),OR(AND(ISBLANK(O75),0&lt;O60),AND(ISBLANK(O60),0&lt;O75))),0,O60))</f>
        <v>0</v>
      </c>
      <c r="I106" s="156">
        <f>IF(AND(Berechnung!A25&lt;=Berechnung!A28-Berechnung!C22,OR(AND(ISBLANK(Q79),0&lt;Q60),AND(ISBLANK(Q60),0&lt;Q79))),0,IF(AND(NOT(Berechnung!A25&lt;=Berechnung!A28-Berechnung!C22),OR(AND(ISBLANK(Q75),0&lt;Q60),AND(ISBLANK(Q60),0&lt;Q75))),0,Q60))</f>
        <v>0</v>
      </c>
      <c r="J106" s="156">
        <f>IF(AND(Berechnung!A25&lt;=Berechnung!A28-Berechnung!C22,OR(AND(ISBLANK(S79),0&lt;S60),AND(ISBLANK(S60),0&lt;S79))),0,IF(AND(NOT(Berechnung!A25&lt;=Berechnung!A28-Berechnung!C22),OR(AND(ISBLANK(S75),0&lt;S60),AND(ISBLANK(S60),0&lt;S75))),0,S60))</f>
        <v>0</v>
      </c>
      <c r="M106" s="115">
        <f>ROUND(IF(AND(NOT(C106=""),Berechnung!A25&lt;=Berechnung!A28-Berechnung!C22,OR(Berechnung!L6=143,Berechnung!M6=100.1,Berechnung!N6=71.5)),(VLOOKUP(Betreuungszuschussrechner!M91,Berechnung!F12:Q26,6,TRUE)*(Berechnung!L6*H106+Berechnung!M6*I106+Berechnung!N6*J106)),IF(AND(NOT(C106=""),Berechnung!A25&lt;=Berechnung!A28-Berechnung!C22,OR(AND(NOT(Berechnung!L6=0),Berechnung!L6&lt;143),AND(NOT(Berechnung!M6=0),Berechnung!M6&lt;100.1),AND(NOT(Berechnung!N6=0),Berechnung!N6&lt;71.5))),(VLOOKUP(Betreuungszuschussrechner!M91,Berechnung!F12:Q26,10,TRUE)*Betreuungszuschussrechner!H106)+(VLOOKUP(Betreuungszuschussrechner!M91,Berechnung!F12:Q26,11,TRUE)*Betreuungszuschussrechner!I106)+(VLOOKUP(Betreuungszuschussrechner!M91,Berechnung!F12:Q26,12,TRUE)*Betreuungszuschussrechner!J106),IF(AND(NOT(C106=""),Berechnung!A25&gt;Berechnung!A28-Berechnung!C22,OR(Berechnung!L5=130,Berechnung!M5=91,Berechnung!N5=65)),(VLOOKUP(Betreuungszuschussrechner!M91,Berechnung!F12:Q26,6,TRUE)*(Berechnung!L5*H106+Berechnung!M5*I106+Berechnung!N5*J106)),IF(AND(NOT(C106=""),Berechnung!A25&gt;Berechnung!A28-Berechnung!C22,OR(AND(NOT(Berechnung!L5=0),Berechnung!L5&lt;130),AND(NOT(Berechnung!M5=0),Berechnung!M5&lt;91),AND(NOT(Berechnung!N5=0),Berechnung!N5&lt;65))),(VLOOKUP(Betreuungszuschussrechner!M91,Berechnung!F12:Q26,7,TRUE)*Betreuungszuschussrechner!H106)+(VLOOKUP(Betreuungszuschussrechner!M91,Berechnung!F12:Q26,8,TRUE)*Betreuungszuschussrechner!I106)+(VLOOKUP(Betreuungszuschussrechner!M91,Berechnung!F12:Q26,9,TRUE)*Betreuungszuschussrechner!J106),0)))),1)</f>
        <v>0</v>
      </c>
      <c r="O106" s="183">
        <f>M106*4</f>
        <v>0</v>
      </c>
      <c r="P106" s="183"/>
      <c r="Q106" s="183"/>
      <c r="R106" s="101"/>
      <c r="S106" s="62" t="str">
        <f>IF(Berechnung!A25&lt;=Berechnung!A28-Berechnung!C22,"Tarif für Kind unter 18 Monate","Tarif für Kind ab 18 Monaten")</f>
        <v>Tarif für Kind unter 18 Monate</v>
      </c>
      <c r="T106" s="82"/>
      <c r="U106" s="82"/>
      <c r="V106" s="82"/>
    </row>
    <row r="107" spans="1:28" s="47" customFormat="1" ht="12.75" x14ac:dyDescent="0.2">
      <c r="B107" s="49"/>
      <c r="C107" s="49" t="str">
        <f>IF(AND(NOT(C98=""),M46&gt;3),"Kind 4","")</f>
        <v/>
      </c>
      <c r="D107" s="49"/>
      <c r="E107" s="84" t="e">
        <f>IF(#REF!="Kindertagesstätte","%",IF(#REF!="Tagesfamilienorganisation","Std.",""))</f>
        <v>#REF!</v>
      </c>
      <c r="F107" s="49"/>
      <c r="G107" s="112"/>
      <c r="H107" s="155">
        <f>IF(AND(Berechnung!A34&lt;=Berechnung!A37-Berechnung!C31,OR(AND(ISBLANK(O79),0&lt;O63),AND(ISBLANK(O63),0&lt;O79))),0,IF(AND(NOT(Berechnung!A34&lt;=Berechnung!A37-Berechnung!C31),OR(AND(ISBLANK(O75),0&lt;O63),AND(ISBLANK(O63),0&lt;O75))),0,O63))</f>
        <v>0</v>
      </c>
      <c r="I107" s="156">
        <f>IF(AND(Berechnung!A34&lt;=Berechnung!A37-Berechnung!C31,OR(AND(ISBLANK(Q79),0&lt;Q63),AND(ISBLANK(Q63),0&lt;Q79))),0,IF(AND(NOT(Berechnung!A34&lt;=Berechnung!A37-Berechnung!C31),OR(AND(ISBLANK(Q75),0&lt;Q63),AND(ISBLANK(Q63),0&lt;Q75))),0,Q63))</f>
        <v>0</v>
      </c>
      <c r="J107" s="156">
        <f>IF(AND(Berechnung!A34&lt;=Berechnung!A37-Berechnung!C31,OR(AND(ISBLANK(S79),0&lt;S63),AND(ISBLANK(S63),0&lt;S79))),0,IF(AND(NOT(Berechnung!A34&lt;=Berechnung!A37-Berechnung!C31),OR(AND(ISBLANK(S75),0&lt;S63),AND(ISBLANK(S63),0&lt;S75))),0,S63))</f>
        <v>0</v>
      </c>
      <c r="M107" s="115">
        <f>ROUND(IF(AND(NOT(C107=""),Berechnung!A34&lt;=Berechnung!A37-Berechnung!C31,OR(Berechnung!L6=143,Berechnung!M6=100.1,Berechnung!N6=71.5)),(VLOOKUP(Betreuungszuschussrechner!M91,Berechnung!F12:Q26,6,TRUE)*(Berechnung!L6*H107+Berechnung!M6*I107+Berechnung!N6*J107)),IF(AND(NOT(C107=""),Berechnung!A34&lt;=Berechnung!A37-Berechnung!C31,OR(AND(NOT(Berechnung!L6=0),Berechnung!L6&lt;143),AND(NOT(Berechnung!M6=0),Berechnung!M6&lt;100.1),AND(NOT(Berechnung!N6=0),Berechnung!N6&lt;71.5))),(VLOOKUP(Betreuungszuschussrechner!M91,Berechnung!F12:Q26,10,TRUE)*Betreuungszuschussrechner!H107)+(VLOOKUP(Betreuungszuschussrechner!M91,Berechnung!F12:Q26,11,TRUE)*Betreuungszuschussrechner!I107)+(VLOOKUP(Betreuungszuschussrechner!M91,Berechnung!F12:Q26,12,TRUE)*Betreuungszuschussrechner!J107),IF(AND(NOT(C107=""),Berechnung!A34&gt;Berechnung!A37-Berechnung!C31,OR(Berechnung!L5=130,Berechnung!M5=91,Berechnung!N5=65)),(VLOOKUP(Betreuungszuschussrechner!M91,Berechnung!F12:Q26,6,TRUE)*(Berechnung!L5*H107+Berechnung!M5*I107+Berechnung!N5*J107)),IF(AND(NOT(C107=""),Berechnung!A34&gt;Berechnung!A37-Berechnung!C31,OR(AND(NOT(Berechnung!L5=0),Berechnung!L5&lt;130),AND(NOT(Berechnung!M5=0),Berechnung!M5&lt;91),AND(NOT(Berechnung!N5=0),Berechnung!N5&lt;65))),(VLOOKUP(Betreuungszuschussrechner!M91,Berechnung!F12:Q26,7,TRUE)*Betreuungszuschussrechner!H107)+(VLOOKUP(Betreuungszuschussrechner!M91,Berechnung!F12:Q26,8,TRUE)*Betreuungszuschussrechner!I107)+(VLOOKUP(Betreuungszuschussrechner!M91,Berechnung!F12:Q26,9,TRUE)*Betreuungszuschussrechner!J107),0)))),1)</f>
        <v>0</v>
      </c>
      <c r="O107" s="183">
        <f>M107*4</f>
        <v>0</v>
      </c>
      <c r="P107" s="183"/>
      <c r="Q107" s="183"/>
      <c r="R107" s="101"/>
      <c r="S107" s="62" t="str">
        <f>IF(Berechnung!A34&lt;=Berechnung!A37-Berechnung!C31,"Tarif für Kind unter 18 Monate","Tarif für Kind ab 18 Monaten")</f>
        <v>Tarif für Kind unter 18 Monate</v>
      </c>
      <c r="T107" s="82"/>
      <c r="U107" s="82"/>
      <c r="V107" s="82"/>
    </row>
    <row r="108" spans="1:28" s="47" customFormat="1" ht="12.75" x14ac:dyDescent="0.2">
      <c r="B108" s="49"/>
      <c r="C108" s="85" t="str">
        <f>IF(OR(C104="Kind 1*",C105="Kind 2*",C106="Kind 3*",C107="Kind 4*"),"*Kind mit erhöhtem Betreuungsaufwand","")</f>
        <v/>
      </c>
      <c r="D108" s="58"/>
      <c r="E108" s="84"/>
      <c r="F108" s="58"/>
      <c r="G108" s="86"/>
      <c r="H108" s="84"/>
      <c r="I108" s="87"/>
      <c r="N108" s="114"/>
      <c r="O108" s="101"/>
      <c r="P108" s="101"/>
      <c r="Q108" s="101"/>
      <c r="R108" s="101"/>
      <c r="S108" s="88"/>
      <c r="T108" s="88"/>
      <c r="U108" s="88"/>
      <c r="V108" s="88"/>
    </row>
    <row r="109" spans="1:28" s="47" customFormat="1" ht="12.75" customHeight="1" thickBot="1" x14ac:dyDescent="0.25">
      <c r="B109" s="49"/>
      <c r="C109" s="89" t="s">
        <v>16</v>
      </c>
      <c r="D109" s="90"/>
      <c r="E109" s="90"/>
      <c r="F109" s="90"/>
      <c r="G109" s="90"/>
      <c r="H109" s="90"/>
      <c r="I109" s="90"/>
      <c r="J109" s="91"/>
      <c r="K109" s="91"/>
      <c r="L109" s="91"/>
      <c r="M109" s="113">
        <f>SUM(N104:N107)</f>
        <v>0</v>
      </c>
      <c r="N109" s="91"/>
      <c r="O109" s="184">
        <f>SUM(O104:Q107)</f>
        <v>0</v>
      </c>
      <c r="P109" s="184"/>
      <c r="Q109" s="184"/>
      <c r="R109" s="140"/>
      <c r="S109" s="92"/>
      <c r="T109" s="92"/>
      <c r="U109" s="82"/>
      <c r="V109" s="82"/>
    </row>
    <row r="110" spans="1:28" s="47" customFormat="1" ht="12.75" x14ac:dyDescent="0.2">
      <c r="B110" s="49"/>
      <c r="C110" s="57"/>
      <c r="D110" s="49"/>
      <c r="E110" s="49"/>
      <c r="F110" s="49"/>
      <c r="G110" s="49"/>
      <c r="H110" s="49"/>
      <c r="I110" s="49"/>
      <c r="J110" s="49"/>
      <c r="K110" s="49"/>
      <c r="L110" s="49"/>
      <c r="M110" s="49"/>
      <c r="N110" s="49"/>
      <c r="O110" s="81"/>
      <c r="P110" s="81"/>
      <c r="Q110" s="81"/>
      <c r="R110" s="81"/>
      <c r="S110" s="81"/>
      <c r="T110" s="81"/>
      <c r="U110" s="81"/>
      <c r="V110" s="81"/>
      <c r="W110" s="66"/>
      <c r="X110" s="66"/>
      <c r="Y110" s="66"/>
      <c r="Z110" s="66"/>
      <c r="AA110" s="66"/>
      <c r="AB110" s="66"/>
    </row>
    <row r="111" spans="1:28" s="47" customFormat="1" ht="19.5" customHeight="1" x14ac:dyDescent="0.2">
      <c r="C111" s="181" t="s">
        <v>21</v>
      </c>
      <c r="D111" s="181"/>
      <c r="E111" s="181"/>
      <c r="F111" s="181"/>
      <c r="G111" s="181"/>
      <c r="H111" s="181"/>
      <c r="I111" s="181"/>
      <c r="J111" s="181"/>
      <c r="K111" s="181"/>
      <c r="L111" s="181"/>
      <c r="M111" s="181"/>
      <c r="N111" s="181"/>
      <c r="O111" s="181"/>
      <c r="P111" s="181"/>
      <c r="Q111" s="181"/>
      <c r="R111" s="181"/>
      <c r="S111" s="181"/>
      <c r="T111" s="181"/>
      <c r="U111" s="181"/>
      <c r="V111" s="117"/>
      <c r="W111" s="66"/>
      <c r="X111" s="66"/>
      <c r="Y111" s="66"/>
      <c r="Z111" s="66"/>
      <c r="AA111" s="66"/>
      <c r="AB111" s="66"/>
    </row>
    <row r="112" spans="1:28" s="47" customFormat="1" ht="9" customHeight="1" x14ac:dyDescent="0.2">
      <c r="C112" s="181"/>
      <c r="D112" s="181"/>
      <c r="E112" s="181"/>
      <c r="F112" s="181"/>
      <c r="G112" s="181"/>
      <c r="H112" s="181"/>
      <c r="I112" s="181"/>
      <c r="J112" s="181"/>
      <c r="K112" s="181"/>
      <c r="L112" s="181"/>
      <c r="M112" s="181"/>
      <c r="N112" s="181"/>
      <c r="O112" s="181"/>
      <c r="P112" s="181"/>
      <c r="Q112" s="181"/>
      <c r="R112" s="181"/>
      <c r="S112" s="181"/>
      <c r="T112" s="181"/>
      <c r="U112" s="181"/>
      <c r="V112" s="117"/>
      <c r="W112" s="66"/>
      <c r="X112" s="66"/>
      <c r="Y112" s="66"/>
      <c r="Z112" s="66"/>
      <c r="AA112" s="66"/>
      <c r="AB112" s="66"/>
    </row>
    <row r="113" spans="1:28" ht="12.75" x14ac:dyDescent="0.2">
      <c r="C113" s="181"/>
      <c r="D113" s="181"/>
      <c r="E113" s="181"/>
      <c r="F113" s="181"/>
      <c r="G113" s="181"/>
      <c r="H113" s="181"/>
      <c r="I113" s="181"/>
      <c r="J113" s="181"/>
      <c r="K113" s="181"/>
      <c r="L113" s="181"/>
      <c r="M113" s="181"/>
      <c r="N113" s="181"/>
      <c r="O113" s="181"/>
      <c r="P113" s="181"/>
      <c r="Q113" s="181"/>
      <c r="R113" s="181"/>
      <c r="S113" s="181"/>
      <c r="T113" s="181"/>
      <c r="U113" s="181"/>
      <c r="V113" s="117"/>
      <c r="W113" s="66"/>
      <c r="X113" s="66"/>
      <c r="Y113" s="66"/>
      <c r="Z113" s="66"/>
      <c r="AA113" s="66"/>
      <c r="AB113" s="66"/>
    </row>
    <row r="114" spans="1:28" ht="21.75" customHeight="1" x14ac:dyDescent="0.2">
      <c r="C114" s="181"/>
      <c r="D114" s="181"/>
      <c r="E114" s="181"/>
      <c r="F114" s="181"/>
      <c r="G114" s="181"/>
      <c r="H114" s="181"/>
      <c r="I114" s="181"/>
      <c r="J114" s="181"/>
      <c r="K114" s="181"/>
      <c r="L114" s="181"/>
      <c r="M114" s="181"/>
      <c r="N114" s="181"/>
      <c r="O114" s="181"/>
      <c r="P114" s="181"/>
      <c r="Q114" s="181"/>
      <c r="R114" s="181"/>
      <c r="S114" s="181"/>
      <c r="T114" s="181"/>
      <c r="U114" s="181"/>
      <c r="V114" s="67"/>
    </row>
    <row r="115" spans="1:28" ht="12.75" x14ac:dyDescent="0.2">
      <c r="J115" s="67"/>
      <c r="K115" s="67"/>
      <c r="L115" s="67"/>
      <c r="M115" s="67"/>
      <c r="N115" s="67"/>
      <c r="O115" s="67"/>
      <c r="P115" s="67"/>
      <c r="Q115" s="67"/>
      <c r="R115" s="67"/>
      <c r="S115" s="67"/>
      <c r="T115" s="67"/>
      <c r="U115" s="67"/>
      <c r="V115" s="67"/>
    </row>
    <row r="116" spans="1:28" ht="12.75" x14ac:dyDescent="0.2">
      <c r="C116" s="67"/>
      <c r="D116" s="67"/>
      <c r="E116" s="67"/>
      <c r="F116" s="67"/>
      <c r="G116" s="67"/>
      <c r="H116" s="67"/>
      <c r="I116" s="67"/>
      <c r="J116" s="67"/>
      <c r="K116" s="67"/>
      <c r="L116" s="67"/>
      <c r="M116" s="67"/>
      <c r="N116" s="67"/>
      <c r="O116" s="67"/>
      <c r="P116" s="67"/>
      <c r="Q116" s="67"/>
      <c r="R116" s="67"/>
      <c r="S116" s="67"/>
      <c r="T116" s="67"/>
      <c r="U116" s="67"/>
      <c r="V116" s="67"/>
    </row>
    <row r="117" spans="1:28" ht="12.75" hidden="1" x14ac:dyDescent="0.2">
      <c r="C117" s="67"/>
      <c r="D117" s="67"/>
      <c r="E117" s="67"/>
      <c r="F117" s="67"/>
      <c r="G117" s="94"/>
      <c r="H117" s="67"/>
      <c r="I117" s="67"/>
      <c r="J117" s="67"/>
      <c r="K117" s="67"/>
      <c r="L117" s="67"/>
      <c r="M117" s="67"/>
      <c r="N117" s="67"/>
      <c r="O117" s="67"/>
      <c r="P117" s="67"/>
      <c r="Q117" s="67"/>
      <c r="R117" s="67"/>
      <c r="S117" s="67"/>
      <c r="T117" s="67"/>
      <c r="U117" s="67"/>
      <c r="V117" s="67"/>
    </row>
    <row r="118" spans="1:28" ht="12.75" hidden="1" x14ac:dyDescent="0.2">
      <c r="C118" s="67"/>
      <c r="D118" s="67"/>
      <c r="E118" s="67"/>
      <c r="F118" s="67"/>
      <c r="G118" s="67"/>
      <c r="H118" s="67"/>
      <c r="I118" s="67"/>
      <c r="J118" s="67"/>
      <c r="K118" s="67"/>
      <c r="L118" s="67"/>
      <c r="M118" s="67"/>
      <c r="N118" s="67"/>
      <c r="O118" s="67"/>
      <c r="P118" s="67"/>
      <c r="Q118" s="67"/>
      <c r="R118" s="67"/>
      <c r="S118" s="67"/>
      <c r="T118" s="67"/>
      <c r="U118" s="67"/>
      <c r="V118" s="67"/>
    </row>
    <row r="119" spans="1:28" ht="12.75" hidden="1" x14ac:dyDescent="0.2">
      <c r="C119" s="67"/>
      <c r="D119" s="67"/>
      <c r="E119" s="67"/>
      <c r="F119" s="67"/>
      <c r="G119" s="67"/>
      <c r="H119" s="67"/>
      <c r="I119" s="67"/>
      <c r="J119" s="67"/>
      <c r="K119" s="67"/>
      <c r="L119" s="67"/>
      <c r="M119" s="67"/>
      <c r="O119" s="67"/>
      <c r="P119" s="67"/>
      <c r="Q119" s="67"/>
      <c r="R119" s="67"/>
      <c r="S119" s="67"/>
      <c r="T119" s="67"/>
      <c r="U119" s="67"/>
      <c r="V119" s="67"/>
    </row>
    <row r="120" spans="1:28" ht="12.75" hidden="1" x14ac:dyDescent="0.2">
      <c r="C120" s="67"/>
      <c r="D120" s="67"/>
      <c r="E120" s="67"/>
      <c r="F120" s="67"/>
      <c r="G120" s="67"/>
      <c r="H120" s="67"/>
      <c r="I120" s="67"/>
      <c r="J120" s="67"/>
      <c r="K120" s="67"/>
      <c r="L120" s="67"/>
      <c r="M120" s="67"/>
      <c r="O120" s="67"/>
      <c r="P120" s="67"/>
      <c r="Q120" s="67"/>
      <c r="R120" s="67"/>
      <c r="S120" s="67"/>
      <c r="T120" s="67"/>
      <c r="U120" s="67"/>
      <c r="V120" s="67"/>
    </row>
    <row r="121" spans="1:28" s="35" customFormat="1" ht="12.75" hidden="1" x14ac:dyDescent="0.2">
      <c r="A121" s="33"/>
      <c r="B121" s="33"/>
      <c r="C121" s="34"/>
      <c r="D121" s="34"/>
      <c r="E121" s="34"/>
      <c r="F121" s="34"/>
      <c r="G121" s="34"/>
      <c r="H121" s="34"/>
      <c r="I121" s="34"/>
      <c r="J121" s="34"/>
      <c r="K121" s="34"/>
      <c r="L121" s="34"/>
      <c r="M121" s="34"/>
      <c r="O121" s="34"/>
      <c r="P121" s="34"/>
      <c r="Q121" s="34"/>
      <c r="R121" s="34"/>
      <c r="S121" s="34"/>
      <c r="T121" s="34"/>
      <c r="U121" s="34"/>
      <c r="V121" s="34"/>
    </row>
    <row r="122" spans="1:28" s="35" customFormat="1" ht="12.75" hidden="1" x14ac:dyDescent="0.2">
      <c r="A122" s="33"/>
      <c r="B122" s="33"/>
      <c r="O122" s="34"/>
      <c r="P122" s="34"/>
      <c r="Q122" s="34"/>
      <c r="R122" s="34"/>
      <c r="S122" s="34"/>
      <c r="T122" s="34"/>
      <c r="U122" s="34"/>
      <c r="V122" s="34"/>
    </row>
    <row r="123" spans="1:28" s="35" customFormat="1" ht="12.75" hidden="1" x14ac:dyDescent="0.2">
      <c r="A123" s="33"/>
      <c r="B123" s="33"/>
      <c r="F123" s="36" t="s">
        <v>3</v>
      </c>
      <c r="G123" s="37"/>
      <c r="H123" s="37"/>
      <c r="I123" s="38"/>
      <c r="O123" s="39"/>
      <c r="P123" s="39"/>
      <c r="Q123" s="39"/>
      <c r="R123" s="39"/>
      <c r="S123" s="39"/>
      <c r="T123" s="39"/>
      <c r="U123" s="39"/>
      <c r="V123" s="39"/>
    </row>
    <row r="124" spans="1:28" s="35" customFormat="1" ht="12.75" hidden="1" x14ac:dyDescent="0.2">
      <c r="A124" s="33"/>
      <c r="B124" s="33"/>
      <c r="F124" s="40" t="s">
        <v>1</v>
      </c>
      <c r="G124" s="34"/>
      <c r="H124" s="34"/>
      <c r="I124" s="41" t="s">
        <v>2</v>
      </c>
      <c r="O124" s="34"/>
      <c r="P124" s="34"/>
      <c r="Q124" s="34"/>
      <c r="R124" s="34"/>
      <c r="S124" s="34"/>
      <c r="T124" s="34"/>
      <c r="U124" s="34"/>
      <c r="V124" s="34"/>
    </row>
    <row r="125" spans="1:28" s="35" customFormat="1" ht="12.75" hidden="1" x14ac:dyDescent="0.2">
      <c r="A125" s="33"/>
      <c r="B125" s="33"/>
      <c r="F125" s="40" t="s">
        <v>4</v>
      </c>
      <c r="G125" s="34" t="str">
        <f>C104</f>
        <v/>
      </c>
      <c r="H125" s="34"/>
      <c r="I125" s="42" t="b">
        <f>IF(G125="Kind 1",TRUE,FALSE)</f>
        <v>0</v>
      </c>
      <c r="O125" s="34"/>
      <c r="P125" s="34"/>
      <c r="Q125" s="34"/>
      <c r="R125" s="34"/>
      <c r="S125" s="34"/>
      <c r="T125" s="34"/>
      <c r="U125" s="34"/>
      <c r="V125" s="34"/>
    </row>
    <row r="126" spans="1:28" s="35" customFormat="1" ht="12.75" hidden="1" x14ac:dyDescent="0.2">
      <c r="A126" s="33"/>
      <c r="B126" s="33"/>
      <c r="F126" s="40" t="s">
        <v>5</v>
      </c>
      <c r="G126" s="34" t="str">
        <f>C105</f>
        <v/>
      </c>
      <c r="H126" s="34"/>
      <c r="I126" s="42" t="b">
        <f>IF(G126="Kind 2",TRUE,FALSE)</f>
        <v>0</v>
      </c>
      <c r="O126" s="34"/>
      <c r="P126" s="34"/>
      <c r="Q126" s="34"/>
      <c r="R126" s="34"/>
      <c r="S126" s="34"/>
      <c r="T126" s="34"/>
      <c r="U126" s="34"/>
      <c r="V126" s="34"/>
    </row>
    <row r="127" spans="1:28" s="35" customFormat="1" ht="12.75" hidden="1" x14ac:dyDescent="0.2">
      <c r="A127" s="33"/>
      <c r="B127" s="33"/>
      <c r="F127" s="40" t="s">
        <v>6</v>
      </c>
      <c r="G127" s="34" t="str">
        <f>C106</f>
        <v/>
      </c>
      <c r="H127" s="34"/>
      <c r="I127" s="42" t="b">
        <f>IF(G127="Kind 3",TRUE,FALSE)</f>
        <v>0</v>
      </c>
      <c r="O127" s="34"/>
      <c r="P127" s="34"/>
      <c r="Q127" s="34"/>
      <c r="R127" s="34"/>
      <c r="S127" s="34"/>
      <c r="T127" s="34"/>
      <c r="U127" s="34"/>
      <c r="V127" s="34"/>
    </row>
    <row r="128" spans="1:28" s="35" customFormat="1" ht="12.75" hidden="1" x14ac:dyDescent="0.2">
      <c r="A128" s="33"/>
      <c r="B128" s="33"/>
      <c r="F128" s="43" t="s">
        <v>7</v>
      </c>
      <c r="G128" s="44" t="str">
        <f>C107</f>
        <v/>
      </c>
      <c r="H128" s="44"/>
      <c r="I128" s="45" t="b">
        <f>IF(G128="Kind 4",TRUE,FALSE)</f>
        <v>0</v>
      </c>
      <c r="O128" s="34"/>
      <c r="P128" s="34"/>
      <c r="Q128" s="34"/>
      <c r="R128" s="34"/>
      <c r="S128" s="34"/>
      <c r="T128" s="34"/>
      <c r="U128" s="34"/>
      <c r="V128" s="34"/>
    </row>
    <row r="129" spans="1:22" s="35" customFormat="1" ht="12.75" hidden="1" x14ac:dyDescent="0.2">
      <c r="A129" s="33"/>
      <c r="B129" s="33"/>
      <c r="O129" s="34"/>
      <c r="P129" s="34"/>
      <c r="Q129" s="34"/>
      <c r="R129" s="34"/>
      <c r="S129" s="34"/>
      <c r="T129" s="34"/>
      <c r="U129" s="34"/>
      <c r="V129" s="34"/>
    </row>
    <row r="130" spans="1:22" s="35" customFormat="1" ht="12.75" hidden="1" x14ac:dyDescent="0.2">
      <c r="A130" s="33"/>
      <c r="B130" s="33"/>
      <c r="O130" s="34"/>
      <c r="P130" s="34"/>
      <c r="Q130" s="34"/>
      <c r="R130" s="34"/>
      <c r="S130" s="34"/>
      <c r="T130" s="34"/>
      <c r="U130" s="34"/>
      <c r="V130" s="34"/>
    </row>
    <row r="131" spans="1:22" s="35" customFormat="1" ht="12.75" hidden="1" x14ac:dyDescent="0.2">
      <c r="A131" s="33"/>
      <c r="B131" s="33"/>
    </row>
    <row r="132" spans="1:22" ht="12.75" hidden="1" x14ac:dyDescent="0.2"/>
    <row r="133" spans="1:22" s="96" customFormat="1" ht="12.75" hidden="1" x14ac:dyDescent="0.2">
      <c r="A133" s="95"/>
      <c r="B133" s="95"/>
    </row>
    <row r="134" spans="1:22" ht="12.75" hidden="1" x14ac:dyDescent="0.2"/>
    <row r="135" spans="1:22" ht="12.75" hidden="1" x14ac:dyDescent="0.2"/>
    <row r="136" spans="1:22" ht="12.75" hidden="1" x14ac:dyDescent="0.2"/>
    <row r="137" spans="1:22" ht="12.75" hidden="1" x14ac:dyDescent="0.2"/>
    <row r="138" spans="1:22" ht="12.75" hidden="1" x14ac:dyDescent="0.2"/>
    <row r="139" spans="1:22" ht="12.75" hidden="1" x14ac:dyDescent="0.2"/>
    <row r="140" spans="1:22" ht="12.75" hidden="1" x14ac:dyDescent="0.2"/>
    <row r="141" spans="1:22" ht="12.75" hidden="1" x14ac:dyDescent="0.2"/>
    <row r="142" spans="1:22" ht="12.75" hidden="1" x14ac:dyDescent="0.2"/>
    <row r="143" spans="1:22" ht="12.75" hidden="1" x14ac:dyDescent="0.2"/>
    <row r="144" spans="1:22"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0" hidden="1" customHeight="1" x14ac:dyDescent="0.2"/>
    <row r="217" ht="0" hidden="1" customHeight="1" x14ac:dyDescent="0.2"/>
  </sheetData>
  <sheetProtection sheet="1" selectLockedCells="1"/>
  <dataConsolidate/>
  <mergeCells count="56">
    <mergeCell ref="I100:I102"/>
    <mergeCell ref="H100:H102"/>
    <mergeCell ref="C111:U114"/>
    <mergeCell ref="O70:O73"/>
    <mergeCell ref="Q71:Q73"/>
    <mergeCell ref="S71:S73"/>
    <mergeCell ref="N90:V91"/>
    <mergeCell ref="I73:J73"/>
    <mergeCell ref="O107:Q107"/>
    <mergeCell ref="O109:Q109"/>
    <mergeCell ref="O104:Q104"/>
    <mergeCell ref="O105:Q105"/>
    <mergeCell ref="O106:Q106"/>
    <mergeCell ref="H76:S77"/>
    <mergeCell ref="H80:S81"/>
    <mergeCell ref="P31:T31"/>
    <mergeCell ref="M31:N32"/>
    <mergeCell ref="P28:T28"/>
    <mergeCell ref="M28:N29"/>
    <mergeCell ref="C3:O5"/>
    <mergeCell ref="C26:G26"/>
    <mergeCell ref="N9:O9"/>
    <mergeCell ref="I26:J26"/>
    <mergeCell ref="O24:S24"/>
    <mergeCell ref="C63:H63"/>
    <mergeCell ref="I63:J63"/>
    <mergeCell ref="I54:J54"/>
    <mergeCell ref="C54:H54"/>
    <mergeCell ref="C57:H57"/>
    <mergeCell ref="I57:J57"/>
    <mergeCell ref="C60:H60"/>
    <mergeCell ref="I60:J60"/>
    <mergeCell ref="S44:S52"/>
    <mergeCell ref="C31:G32"/>
    <mergeCell ref="I31:J31"/>
    <mergeCell ref="I83:J83"/>
    <mergeCell ref="O102:Q103"/>
    <mergeCell ref="O44:O52"/>
    <mergeCell ref="Q44:Q52"/>
    <mergeCell ref="C66:V66"/>
    <mergeCell ref="C85:V85"/>
    <mergeCell ref="M102:M103"/>
    <mergeCell ref="C49:J49"/>
    <mergeCell ref="C46:J47"/>
    <mergeCell ref="J100:J102"/>
    <mergeCell ref="C40:H40"/>
    <mergeCell ref="C34:G35"/>
    <mergeCell ref="C37:G38"/>
    <mergeCell ref="I37:J37"/>
    <mergeCell ref="I34:J34"/>
    <mergeCell ref="C9:M9"/>
    <mergeCell ref="C24:G24"/>
    <mergeCell ref="I24:J24"/>
    <mergeCell ref="C28:G29"/>
    <mergeCell ref="I28:J28"/>
    <mergeCell ref="G14:M14"/>
  </mergeCells>
  <conditionalFormatting sqref="S104">
    <cfRule type="expression" dxfId="45" priority="74">
      <formula>$I$125=FALSE</formula>
    </cfRule>
  </conditionalFormatting>
  <conditionalFormatting sqref="S105">
    <cfRule type="expression" dxfId="44" priority="75">
      <formula>$I$126=FALSE</formula>
    </cfRule>
  </conditionalFormatting>
  <conditionalFormatting sqref="S106:S107">
    <cfRule type="expression" dxfId="43" priority="73">
      <formula>$I$127=FALSE</formula>
    </cfRule>
  </conditionalFormatting>
  <conditionalFormatting sqref="O24">
    <cfRule type="expression" dxfId="42" priority="68">
      <formula>IF(NOT($M$24=""),TRUE,FALSE)</formula>
    </cfRule>
  </conditionalFormatting>
  <conditionalFormatting sqref="I28">
    <cfRule type="expression" dxfId="41" priority="66">
      <formula>IF(NOT($C$28=""),TRUE,FALSE)</formula>
    </cfRule>
  </conditionalFormatting>
  <conditionalFormatting sqref="O60">
    <cfRule type="expression" dxfId="40" priority="143">
      <formula>IF(NOT($M$60=""),TRUE,FALSE)</formula>
    </cfRule>
  </conditionalFormatting>
  <conditionalFormatting sqref="O63">
    <cfRule type="expression" dxfId="39" priority="145">
      <formula>IF(NOT($M$63=""),TRUE,FALSE)</formula>
    </cfRule>
  </conditionalFormatting>
  <conditionalFormatting sqref="O57">
    <cfRule type="expression" dxfId="38" priority="149">
      <formula>IF(NOT($M$57=""),TRUE,FALSE)</formula>
    </cfRule>
  </conditionalFormatting>
  <conditionalFormatting sqref="O54">
    <cfRule type="expression" dxfId="37" priority="56">
      <formula>IF(NOT($M$54=""),TRUE,FALSE)</formula>
    </cfRule>
  </conditionalFormatting>
  <conditionalFormatting sqref="I54">
    <cfRule type="expression" dxfId="36" priority="55">
      <formula>IF(NOT($C$54=""),TRUE,FALSE)</formula>
    </cfRule>
  </conditionalFormatting>
  <conditionalFormatting sqref="I24">
    <cfRule type="expression" dxfId="35" priority="53">
      <formula>IF(NOT($C$24=""),TRUE,FALSE)</formula>
    </cfRule>
  </conditionalFormatting>
  <conditionalFormatting sqref="O14">
    <cfRule type="expression" dxfId="34" priority="52">
      <formula>NOT($G$14="")</formula>
    </cfRule>
  </conditionalFormatting>
  <conditionalFormatting sqref="M46">
    <cfRule type="expression" dxfId="33" priority="51">
      <formula>IF(NOT($C$46=""),TRUE,FALSE)</formula>
    </cfRule>
  </conditionalFormatting>
  <conditionalFormatting sqref="I26:J26">
    <cfRule type="expression" dxfId="32" priority="50">
      <formula>IF($C$26="Bruttoeinkommen",TRUE,FALSE)</formula>
    </cfRule>
  </conditionalFormatting>
  <conditionalFormatting sqref="I31:J31">
    <cfRule type="expression" dxfId="31" priority="49">
      <formula>IF(NOT($C$31=""),TRUE,FALSE)</formula>
    </cfRule>
  </conditionalFormatting>
  <conditionalFormatting sqref="I37:J37">
    <cfRule type="expression" dxfId="30" priority="48">
      <formula>IF(NOT($C$37=""),TRUE,FALSE)</formula>
    </cfRule>
  </conditionalFormatting>
  <conditionalFormatting sqref="I34:J34">
    <cfRule type="expression" dxfId="29" priority="46">
      <formula>IF(NOT($C$34=""),TRUE,FALSE)</formula>
    </cfRule>
  </conditionalFormatting>
  <conditionalFormatting sqref="Q54">
    <cfRule type="expression" dxfId="28" priority="44">
      <formula>IF(NOT($M$54=""),TRUE,FALSE)</formula>
    </cfRule>
  </conditionalFormatting>
  <conditionalFormatting sqref="S54">
    <cfRule type="expression" dxfId="27" priority="43">
      <formula>IF(NOT($M$54=""),TRUE,FALSE)</formula>
    </cfRule>
  </conditionalFormatting>
  <conditionalFormatting sqref="Q57">
    <cfRule type="expression" dxfId="26" priority="42">
      <formula>IF(NOT($M$57=""),TRUE,FALSE)</formula>
    </cfRule>
  </conditionalFormatting>
  <conditionalFormatting sqref="S57">
    <cfRule type="expression" dxfId="25" priority="41">
      <formula>IF(NOT($M$57=""),TRUE,FALSE)</formula>
    </cfRule>
  </conditionalFormatting>
  <conditionalFormatting sqref="Q60">
    <cfRule type="expression" dxfId="24" priority="40">
      <formula>IF(NOT($M$60=""),TRUE,FALSE)</formula>
    </cfRule>
  </conditionalFormatting>
  <conditionalFormatting sqref="S60">
    <cfRule type="expression" dxfId="23" priority="39">
      <formula>IF(NOT($M$60=""),TRUE,FALSE)</formula>
    </cfRule>
  </conditionalFormatting>
  <conditionalFormatting sqref="Q63">
    <cfRule type="expression" dxfId="22" priority="37">
      <formula>IF(NOT($M$63=""),TRUE,FALSE)</formula>
    </cfRule>
  </conditionalFormatting>
  <conditionalFormatting sqref="S63">
    <cfRule type="expression" dxfId="21" priority="36">
      <formula>IF(NOT($M$63=""),TRUE,FALSE)</formula>
    </cfRule>
  </conditionalFormatting>
  <conditionalFormatting sqref="M94 J104 M105:M107">
    <cfRule type="cellIs" dxfId="20" priority="31" operator="equal">
      <formula>0</formula>
    </cfRule>
  </conditionalFormatting>
  <conditionalFormatting sqref="M93">
    <cfRule type="cellIs" dxfId="19" priority="30" operator="equal">
      <formula>0</formula>
    </cfRule>
  </conditionalFormatting>
  <conditionalFormatting sqref="M92">
    <cfRule type="cellIs" dxfId="18" priority="29" operator="equal">
      <formula>0</formula>
    </cfRule>
  </conditionalFormatting>
  <conditionalFormatting sqref="M91">
    <cfRule type="cellIs" dxfId="17" priority="28" operator="equal">
      <formula>0</formula>
    </cfRule>
  </conditionalFormatting>
  <conditionalFormatting sqref="H104:J107">
    <cfRule type="cellIs" dxfId="16" priority="27" operator="equal">
      <formula>0</formula>
    </cfRule>
  </conditionalFormatting>
  <conditionalFormatting sqref="G105">
    <cfRule type="cellIs" dxfId="15" priority="26" operator="equal">
      <formula>0</formula>
    </cfRule>
  </conditionalFormatting>
  <conditionalFormatting sqref="G106">
    <cfRule type="cellIs" dxfId="14" priority="25" operator="equal">
      <formula>0</formula>
    </cfRule>
  </conditionalFormatting>
  <conditionalFormatting sqref="G107">
    <cfRule type="cellIs" dxfId="13" priority="24" operator="equal">
      <formula>0</formula>
    </cfRule>
  </conditionalFormatting>
  <conditionalFormatting sqref="M104">
    <cfRule type="cellIs" dxfId="12" priority="22" operator="equal">
      <formula>0</formula>
    </cfRule>
  </conditionalFormatting>
  <conditionalFormatting sqref="M109">
    <cfRule type="cellIs" dxfId="11" priority="20" operator="equal">
      <formula>0</formula>
    </cfRule>
  </conditionalFormatting>
  <conditionalFormatting sqref="O12">
    <cfRule type="expression" dxfId="10" priority="18">
      <formula>IF(NOT($G$12=""),TRUE,FALSE)</formula>
    </cfRule>
  </conditionalFormatting>
  <conditionalFormatting sqref="O16">
    <cfRule type="expression" dxfId="9" priority="17">
      <formula>IF(NOT($G$16=""),TRUE,FALSE)</formula>
    </cfRule>
  </conditionalFormatting>
  <conditionalFormatting sqref="O109:Q109">
    <cfRule type="cellIs" dxfId="8" priority="16" operator="equal">
      <formula>0</formula>
    </cfRule>
  </conditionalFormatting>
  <conditionalFormatting sqref="O18">
    <cfRule type="expression" dxfId="7" priority="11">
      <formula>IF(NOT($G$18=""),TRUE,FALSE)</formula>
    </cfRule>
  </conditionalFormatting>
  <conditionalFormatting sqref="P28">
    <cfRule type="expression" dxfId="6" priority="8">
      <formula>IF(NOT($M$28=""),TRUE,FALSE)</formula>
    </cfRule>
  </conditionalFormatting>
  <conditionalFormatting sqref="P31">
    <cfRule type="expression" dxfId="5" priority="7">
      <formula>IF(NOT($M$31=""),TRUE,FALSE)</formula>
    </cfRule>
  </conditionalFormatting>
  <conditionalFormatting sqref="I57">
    <cfRule type="expression" dxfId="4" priority="6">
      <formula>IF(NOT($C$57=""),TRUE,FALSE)</formula>
    </cfRule>
  </conditionalFormatting>
  <conditionalFormatting sqref="I60">
    <cfRule type="expression" dxfId="3" priority="5">
      <formula>IF(NOT($C$60=""),TRUE,FALSE)</formula>
    </cfRule>
  </conditionalFormatting>
  <conditionalFormatting sqref="I63">
    <cfRule type="expression" dxfId="2" priority="4">
      <formula>IF(NOT($C$63=""),TRUE,FALSE)</formula>
    </cfRule>
  </conditionalFormatting>
  <conditionalFormatting sqref="O75 S75 Q75">
    <cfRule type="expression" dxfId="1" priority="162">
      <formula>IF(NOT($J$75=""),TRUE,FALSE)</formula>
    </cfRule>
  </conditionalFormatting>
  <conditionalFormatting sqref="S79 Q79 O79">
    <cfRule type="expression" dxfId="0" priority="1">
      <formula>IF(NOT($J$79=""),TRUE,FALSE)</formula>
    </cfRule>
  </conditionalFormatting>
  <dataValidations xWindow="1329" yWindow="1018" count="24">
    <dataValidation type="list" allowBlank="1" showInputMessage="1" showErrorMessage="1" sqref="M10 M20 M6:M8">
      <formula1>Haushalt</formula1>
    </dataValidation>
    <dataValidation allowBlank="1" showInputMessage="1" showErrorMessage="1" errorTitle="Erwerbspensum" error="Das blablabla" sqref="I117"/>
    <dataValidation type="date" operator="greaterThanOrEqual" allowBlank="1" showInputMessage="1" showErrorMessage="1" error="Betreuungsgutscheine können nicht rückwirkend beantragt werden. Bitte passen Sie die Eingabe an." sqref="N9">
      <formula1>TODAY()</formula1>
    </dataValidation>
    <dataValidation allowBlank="1" showInputMessage="1" showErrorMessage="1" prompt="Familienrabatt: Werden mehrere Kinder einer Faimilie in der gleichen KiTa betreut, wird für das zweite und jedes weitere Kind ein Rabatt von 10% auf den Tarif gewährt" sqref="C108"/>
    <dataValidation type="list" allowBlank="1" showInputMessage="1" showErrorMessage="1" sqref="O12 O16 O14 O18">
      <formula1>"Ja,Nein"</formula1>
    </dataValidation>
    <dataValidation type="list" allowBlank="1" showInputMessage="1" showErrorMessage="1" sqref="M46">
      <formula1>"Auswahl treffen,1,2,3,4"</formula1>
    </dataValidation>
    <dataValidation type="custom" allowBlank="1" showInputMessage="1" showErrorMessage="1" error="Bitte füllen Sie nur die blauen Felder aus." prompt="Quellenbesteuerte Haushalte müssen ihr Bruttoeinkommen angeben." sqref="I26:J26">
      <formula1>IF(NOT(C26=""),TRUE,FALSE)</formula1>
    </dataValidation>
    <dataValidation type="custom" allowBlank="1" showInputMessage="1" showErrorMessage="1" error="Bitte füllen Sie nur die blauen Felder aus." prompt="Wie viele ganze Tage pro Woche verbringt Kind 2 in der KiTa?" sqref="O57">
      <formula1>IF(NOT(M57=""),TRUE,FALSE)</formula1>
    </dataValidation>
    <dataValidation type="custom" allowBlank="1" showInputMessage="1" showErrorMessage="1" error="Bitte füllen Sie nur die blauen Felder aus." prompt="Wie viele ganze Tage pro Woche verbringt Kind 3 in der KiTa?" sqref="O60">
      <formula1>IF(NOT(M60=""),TRUE,FALSE)</formula1>
    </dataValidation>
    <dataValidation type="custom" allowBlank="1" showInputMessage="1" showErrorMessage="1" error="Bitte füllen Sie nur die blauen Felder aus." prompt="Wie viele halbe Tage mit Mittagessen pro Woche verbringt Kind 2 in der KiTa?" sqref="Q57">
      <formula1>IF(NOT(M57=""),TRUE,FALSE)</formula1>
    </dataValidation>
    <dataValidation type="custom" allowBlank="1" showInputMessage="1" showErrorMessage="1" error="Bitte füllen Sie nur die blauen Felder aus." prompt="Wie viele halbe Tage mit Mittagessen pro Woche verbringt Kind 3 in der KiTa?" sqref="Q60">
      <formula1>IF(NOT(M60=""),TRUE,FALSE)</formula1>
    </dataValidation>
    <dataValidation type="custom" allowBlank="1" showInputMessage="1" showErrorMessage="1" error="Bitte füllen Sie nur die blauen Felder aus." prompt="Wie viele halbe Tage mit Mittagessen pro Woche verbringt Kind 4 in der KiTa?" sqref="Q63">
      <formula1>IF(NOT(M63=""),TRUE,FALSE)</formula1>
    </dataValidation>
    <dataValidation type="custom" allowBlank="1" showInputMessage="1" showErrorMessage="1" error="Bitte füllen Sie nur die blauen Felder aus." prompt="Wie viele halbe Tage ohne Mittagessen pro Woche verbringt Kind 2 in der KiTa?" sqref="S57">
      <formula1>IF(NOT(M57=""),TRUE,FALSE)</formula1>
    </dataValidation>
    <dataValidation type="custom" allowBlank="1" showInputMessage="1" showErrorMessage="1" error="Bitte füllen Sie nur die blauen Felder aus." prompt="Wie viele halbe Tage ohne Mittagessen pro Woche verbringt Kind 3 in der KiTa?" sqref="S60">
      <formula1>IF(NOT(M60=""),TRUE,FALSE)</formula1>
    </dataValidation>
    <dataValidation type="custom" allowBlank="1" showInputMessage="1" showErrorMessage="1" error="Bitte füllen Sie nur die blauen Felder aus." prompt="Wie viele halbe Tage ohne Mittagessen pro Woche verbringt Kind 4 in der KiTa?" sqref="S63">
      <formula1>IF(NOT(M63=""),TRUE,FALSE)</formula1>
    </dataValidation>
    <dataValidation type="whole" operator="lessThanOrEqual" allowBlank="1" showInputMessage="1" showErrorMessage="1" sqref="T57:U57">
      <formula1>500</formula1>
    </dataValidation>
    <dataValidation type="custom" allowBlank="1" showInputMessage="1" showErrorMessage="1" error="Bitte füllen Sie nur die blauen Felder aus." prompt="Quellenbesteuerte Personen müssen ihr Bruttoeinkommen angeben." sqref="I37:J37 I34:J34">
      <formula1>IF(NOT(C34=""),TRUE,FALSE)</formula1>
    </dataValidation>
    <dataValidation type="custom" allowBlank="1" showInputMessage="1" showErrorMessage="1" error="Bitte füllen Sie nur die blauen Felder aus." prompt="Das massgebende Einkommen setzt sich zusammen aus dem steuerbaren Gesamteinkommen (Pos. 25, Staat) der letzten Steuererklärung mit definitiver Veranlagung. Diese darf nicht älter als zwei Jahre sein." sqref="I28:J28 I24:J24 I31:J31">
      <formula1>IF(NOT(C24=""),TRUE,FALSE)</formula1>
    </dataValidation>
    <dataValidation type="custom" allowBlank="1" showInputMessage="1" showErrorMessage="1" error="Bitte füllen Sie nur die blauen Felder aus." prompt="Wie viele ganze Tage pro Woche verbringt Kind 1 in der KiTa?" sqref="O54 O63">
      <formula1>IF(NOT(M54=""),TRUE,FALSE)</formula1>
    </dataValidation>
    <dataValidation type="custom" allowBlank="1" showInputMessage="1" showErrorMessage="1" error="Bitte füllen Sie nur die blauen Felder aus." prompt="Wie viele halbe Tage mit Mittagessen pro Woche verbringt Kind 1 in der KiTa?" sqref="Q54">
      <formula1>IF(NOT(M54=""),TRUE,FALSE)</formula1>
    </dataValidation>
    <dataValidation type="custom" allowBlank="1" showInputMessage="1" showErrorMessage="1" error="Bitte füllen Sie nur die blauen Felder aus." prompt="Wie viele halbe Tage ohne Mittagessen pro Woche verbringt Kind 1 in der KiTa?" sqref="S54">
      <formula1>IF(NOT(M54=""),TRUE,FALSE)</formula1>
    </dataValidation>
    <dataValidation type="custom" allowBlank="1" showInputMessage="1" showErrorMessage="1" error="Bitte füllen Sie nur die blauen Felder aus." prompt="Satzbestimmendes Vermögen gemäss letzter definitiver Steuerveranlagung (Pos. 35), welche nicht älter als zwei Jahre ist_x000a_(wenn über CHF 100'000 werden 10 % dem massgebendem Einkommen angerechnet)_x000a_" sqref="P31 P28">
      <formula1>IF(NOT(M28=""),TRUE,FALSE)</formula1>
    </dataValidation>
    <dataValidation type="date" showInputMessage="1" showErrorMessage="1" errorTitle="Datum" error="Das Datum liegt nicht nach dem Antragsdatum oder ihr Kind hat die Altersbegrenzung erreicht oder das Format der Eingabe ist nicht korrekt (Beispiel: 11.05.2018, Eingabe mit Punkt notwendig)._x000a_" sqref="I61 I55 I64">
      <formula1>$G$29</formula1>
      <formula2>$N$9</formula2>
    </dataValidation>
    <dataValidation type="custom" allowBlank="1" showInputMessage="1" showErrorMessage="1" error="Bitte füllen Sie nur die blauen Felder aus." prompt="Satzbestimmendes Vermögen gemäss letzter definitiver Steuerveranlagung (Pos. 35), welche nicht älter als zwei Jahre ist_x000a_(wenn über CHF 100'000 werden 10 % dem massgebendem Einkommen angerechnet)_x000a_" sqref="O24">
      <formula1>IF(NOT(M24=""),TRUE,FALSE)</formula1>
    </dataValidation>
  </dataValidations>
  <pageMargins left="0.70866141732283472" right="0.48" top="0.32" bottom="0.31" header="0.31496062992125984" footer="0.31496062992125984"/>
  <pageSetup paperSize="9" scale="38" orientation="landscape" r:id="rId1"/>
  <ignoredErrors>
    <ignoredError sqref="J109" evalError="1"/>
  </ignoredErrors>
  <drawing r:id="rId2"/>
  <extLst>
    <ext xmlns:x14="http://schemas.microsoft.com/office/spreadsheetml/2009/9/main" uri="{CCE6A557-97BC-4b89-ADB6-D9C93CAAB3DF}">
      <x14:dataValidations xmlns:xm="http://schemas.microsoft.com/office/excel/2006/main" xWindow="1329" yWindow="1018" count="2">
        <x14:dataValidation type="date" showInputMessage="1" showErrorMessage="1" errorTitle="Datum" error="Das Datum liegt nicht nach dem Antragsdatum oder ihr Kind hat die Altersbegrenzung erreicht oder das Format der Eingabe ist nicht korrekt (Beispiel: 11.05.2018, Eingabe mit Punkt notwendig)._x000a_">
          <x14:formula1>
            <xm:f>Berechnung!$G$29</xm:f>
          </x14:formula1>
          <x14:formula2>
            <xm:f>$N$9</xm:f>
          </x14:formula2>
          <xm:sqref>I58</xm:sqref>
        </x14:dataValidation>
        <x14:dataValidation type="custom" showInputMessage="1" showErrorMessage="1" errorTitle="Datum" error="Das Datum liegt nicht nach dem Antragsdatum oder ihr Kind hat die Altersbegrenzung erreicht oder das Format der Eingabe ist nicht korrekt (Beispiel: 11.05.2018, Eingabe mit Punkt notwendig)._x000a_">
          <x14:formula1>
            <xm:f>IF(AND(NOT(C54=""),I54&gt;=Berechnung!$G$29,I54&lt;=$N$9),TRUE,FALSE)</xm:f>
          </x14:formula1>
          <xm:sqref>I54:J54 I57:J57 I60:J60 I63:J63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R40"/>
  <sheetViews>
    <sheetView workbookViewId="0">
      <selection activeCell="L7" sqref="L7"/>
    </sheetView>
  </sheetViews>
  <sheetFormatPr baseColWidth="10" defaultColWidth="11.42578125" defaultRowHeight="12.75" x14ac:dyDescent="0.2"/>
  <cols>
    <col min="1" max="1" width="16.28515625" style="14" customWidth="1"/>
    <col min="2" max="3" width="14.85546875" style="14" customWidth="1"/>
    <col min="4" max="5" width="11.42578125" style="14"/>
    <col min="6" max="6" width="11.42578125" style="14" customWidth="1"/>
    <col min="7" max="9" width="11.42578125" style="14"/>
    <col min="10" max="10" width="51.85546875" style="14" customWidth="1"/>
    <col min="11" max="11" width="14.28515625" style="14" bestFit="1" customWidth="1"/>
    <col min="12" max="12" width="13.28515625" style="14" bestFit="1" customWidth="1"/>
    <col min="13" max="13" width="13.85546875" style="14" customWidth="1"/>
    <col min="14" max="14" width="14.85546875" style="14" customWidth="1"/>
    <col min="15" max="16384" width="11.42578125" style="14"/>
  </cols>
  <sheetData>
    <row r="1" spans="1:18" x14ac:dyDescent="0.2">
      <c r="A1" s="15" t="s">
        <v>8</v>
      </c>
      <c r="B1" s="29"/>
      <c r="C1" s="13"/>
    </row>
    <row r="2" spans="1:18" x14ac:dyDescent="0.2">
      <c r="A2" s="15"/>
      <c r="B2" s="29"/>
      <c r="C2" s="13"/>
      <c r="F2" s="25"/>
      <c r="G2" s="26"/>
      <c r="H2" s="26"/>
      <c r="I2" s="26"/>
      <c r="J2" s="26"/>
      <c r="K2" s="27"/>
      <c r="L2" s="26"/>
      <c r="M2" s="7"/>
      <c r="N2" s="6"/>
      <c r="O2" s="150"/>
      <c r="P2" s="151"/>
      <c r="Q2" s="151"/>
      <c r="R2" s="3"/>
    </row>
    <row r="3" spans="1:18" x14ac:dyDescent="0.2">
      <c r="A3" s="15" t="s">
        <v>9</v>
      </c>
      <c r="B3" s="29" t="s">
        <v>10</v>
      </c>
      <c r="C3" s="13" t="s">
        <v>20</v>
      </c>
      <c r="F3" s="25"/>
      <c r="G3" s="26"/>
      <c r="H3" s="26"/>
      <c r="I3" s="26"/>
      <c r="J3" s="26"/>
      <c r="K3" s="130"/>
      <c r="L3" s="26"/>
      <c r="M3" s="6"/>
      <c r="N3" s="6"/>
      <c r="O3" s="150"/>
      <c r="P3" s="151"/>
      <c r="Q3" s="151"/>
      <c r="R3" s="3"/>
    </row>
    <row r="4" spans="1:18" ht="13.5" thickBot="1" x14ac:dyDescent="0.25">
      <c r="A4" s="17">
        <f>Betreuungszuschussrechner!N9</f>
        <v>0</v>
      </c>
      <c r="B4" s="30">
        <f>Betreuungszuschussrechner!I54</f>
        <v>0</v>
      </c>
      <c r="C4" s="18">
        <f>DAY(Betreuungszuschussrechner!I54)</f>
        <v>0</v>
      </c>
      <c r="E4" s="28"/>
      <c r="F4" s="22"/>
      <c r="G4" s="22"/>
      <c r="H4" s="22"/>
      <c r="I4" s="22"/>
      <c r="J4" s="22"/>
      <c r="K4" s="144"/>
      <c r="L4" s="144" t="s">
        <v>25</v>
      </c>
      <c r="M4" s="22" t="s">
        <v>26</v>
      </c>
      <c r="N4" s="6" t="s">
        <v>27</v>
      </c>
      <c r="O4" s="8"/>
      <c r="P4" s="151"/>
      <c r="Q4" s="151"/>
      <c r="R4" s="3"/>
    </row>
    <row r="5" spans="1:18" ht="12.75" customHeight="1" thickBot="1" x14ac:dyDescent="0.25">
      <c r="A5" s="15"/>
      <c r="B5" s="29"/>
      <c r="C5" s="13"/>
      <c r="E5" s="28"/>
      <c r="F5" s="5" t="s">
        <v>17</v>
      </c>
      <c r="G5" s="6"/>
      <c r="H5" s="6"/>
      <c r="I5" s="6"/>
      <c r="J5" s="1"/>
      <c r="K5" s="144"/>
      <c r="L5" s="141">
        <f>IF(Betreuungszuschussrechner!O75&gt;=130,130,IF(AND(130&gt;Betreuungszuschussrechner!O75,Betreuungszuschussrechner!O75&gt;26),Betreuungszuschussrechner!O75,IF(Betreuungszuschussrechner!O75=0,0,26)))</f>
        <v>0</v>
      </c>
      <c r="M5" s="145">
        <f>IF(Betreuungszuschussrechner!Q75&gt;=91,91,IF(AND(91&gt;Betreuungszuschussrechner!Q75,Betreuungszuschussrechner!Q75&gt;18.2),Betreuungszuschussrechner!Q75,IF(Betreuungszuschussrechner!Q75=0,0,18.2)))</f>
        <v>0</v>
      </c>
      <c r="N5" s="141">
        <f>IF(Betreuungszuschussrechner!S75&gt;=65,65,IF(AND(65&gt;Betreuungszuschussrechner!S75,Betreuungszuschussrechner!S75&gt;13),Betreuungszuschussrechner!S75,IF(Betreuungszuschussrechner!S75=0,0,13)))</f>
        <v>0</v>
      </c>
      <c r="O5" s="26" t="s">
        <v>0</v>
      </c>
      <c r="P5" s="151"/>
      <c r="Q5" s="151"/>
      <c r="R5" s="3"/>
    </row>
    <row r="6" spans="1:18" ht="14.25" customHeight="1" thickBot="1" x14ac:dyDescent="0.25">
      <c r="A6" s="16" t="s">
        <v>11</v>
      </c>
      <c r="B6" s="29"/>
      <c r="C6" s="13"/>
      <c r="E6" s="28"/>
      <c r="F6" s="5" t="s">
        <v>18</v>
      </c>
      <c r="G6" s="6"/>
      <c r="H6" s="6"/>
      <c r="I6" s="6"/>
      <c r="J6" s="1"/>
      <c r="K6" s="144"/>
      <c r="L6" s="146">
        <f>IF(Betreuungszuschussrechner!O79&gt;143,143,Betreuungszuschussrechner!O79)</f>
        <v>0</v>
      </c>
      <c r="M6" s="146">
        <f>IF(Betreuungszuschussrechner!Q79&gt;100.1,100.1,Betreuungszuschussrechner!Q79)</f>
        <v>0</v>
      </c>
      <c r="N6" s="142">
        <f>IF(Betreuungszuschussrechner!S79&gt;71.5,71.5,Betreuungszuschussrechner!S79)</f>
        <v>0</v>
      </c>
      <c r="O6" s="26" t="s">
        <v>0</v>
      </c>
      <c r="P6" s="151"/>
      <c r="Q6" s="151"/>
      <c r="R6" s="12"/>
    </row>
    <row r="7" spans="1:18" x14ac:dyDescent="0.2">
      <c r="A7" s="19">
        <f>Berechnung!A4-B4</f>
        <v>0</v>
      </c>
      <c r="B7" s="29"/>
      <c r="C7" s="13"/>
      <c r="E7" s="28"/>
      <c r="F7" s="143"/>
      <c r="G7" s="8"/>
      <c r="H7" s="8"/>
      <c r="I7" s="8"/>
      <c r="J7" s="26"/>
      <c r="K7" s="26"/>
      <c r="L7" s="26"/>
      <c r="M7" s="8"/>
      <c r="N7" s="6"/>
      <c r="O7" s="150"/>
      <c r="P7" s="151"/>
      <c r="Q7" s="151"/>
      <c r="R7" s="11"/>
    </row>
    <row r="8" spans="1:18" x14ac:dyDescent="0.2">
      <c r="A8" s="15"/>
      <c r="B8" s="29"/>
      <c r="C8" s="13"/>
      <c r="E8" s="28"/>
      <c r="F8" s="22"/>
      <c r="G8" s="22"/>
      <c r="H8" s="22"/>
      <c r="I8" s="22"/>
      <c r="J8" s="22"/>
      <c r="K8" s="22"/>
      <c r="L8" s="22"/>
      <c r="M8" s="8"/>
      <c r="N8" s="6"/>
      <c r="O8" s="150"/>
      <c r="P8" s="151"/>
      <c r="Q8" s="8"/>
      <c r="R8" s="2"/>
    </row>
    <row r="9" spans="1:18" x14ac:dyDescent="0.2">
      <c r="A9" s="15" t="s">
        <v>12</v>
      </c>
      <c r="B9" s="29"/>
      <c r="C9" s="13"/>
      <c r="E9" s="28"/>
      <c r="F9" s="143"/>
      <c r="G9" s="8"/>
      <c r="H9" s="8"/>
      <c r="I9" s="8"/>
      <c r="J9" s="8"/>
      <c r="K9" s="27"/>
      <c r="L9" s="26"/>
      <c r="M9" s="8"/>
      <c r="N9" s="6"/>
      <c r="O9" s="150"/>
      <c r="P9" s="151"/>
      <c r="Q9" s="151"/>
      <c r="R9" s="3"/>
    </row>
    <row r="10" spans="1:18" x14ac:dyDescent="0.2">
      <c r="A10" s="19">
        <v>579</v>
      </c>
      <c r="B10" s="30"/>
      <c r="C10" s="13"/>
      <c r="E10" s="28"/>
      <c r="F10" s="143"/>
      <c r="G10" s="8"/>
      <c r="H10" s="8"/>
      <c r="I10" s="8"/>
      <c r="J10" s="8"/>
      <c r="K10" s="26"/>
      <c r="L10" s="26" t="s">
        <v>28</v>
      </c>
      <c r="M10" s="8"/>
      <c r="N10" s="6"/>
      <c r="O10" s="150" t="s">
        <v>29</v>
      </c>
      <c r="P10" s="151"/>
      <c r="Q10" s="151"/>
      <c r="R10" s="3"/>
    </row>
    <row r="11" spans="1:18" ht="13.5" thickBot="1" x14ac:dyDescent="0.25">
      <c r="A11" s="15"/>
      <c r="B11" s="29"/>
      <c r="C11" s="13"/>
      <c r="E11" s="28"/>
      <c r="F11" s="5" t="s">
        <v>19</v>
      </c>
      <c r="G11" s="6"/>
      <c r="H11" s="6"/>
      <c r="I11" s="6"/>
      <c r="J11" s="6"/>
      <c r="K11" s="6"/>
      <c r="L11" s="144" t="s">
        <v>25</v>
      </c>
      <c r="M11" s="22" t="s">
        <v>26</v>
      </c>
      <c r="N11" s="6" t="s">
        <v>27</v>
      </c>
      <c r="O11" s="144" t="s">
        <v>25</v>
      </c>
      <c r="P11" s="22" t="s">
        <v>26</v>
      </c>
      <c r="Q11" s="8" t="s">
        <v>27</v>
      </c>
      <c r="R11" s="3"/>
    </row>
    <row r="12" spans="1:18" ht="13.5" thickBot="1" x14ac:dyDescent="0.25">
      <c r="A12" s="15" t="s">
        <v>13</v>
      </c>
      <c r="B12" s="29"/>
      <c r="C12" s="13"/>
      <c r="E12" s="28"/>
      <c r="F12" s="23">
        <v>0</v>
      </c>
      <c r="G12" s="6"/>
      <c r="H12" s="6"/>
      <c r="I12" s="6"/>
      <c r="J12" s="6"/>
      <c r="K12" s="147">
        <v>0.8</v>
      </c>
      <c r="L12" s="148">
        <f>IF(AND(L5&lt;130,26&lt;L5),$L$5-26,IF(L5=0,0,26))</f>
        <v>0</v>
      </c>
      <c r="M12" s="141">
        <f>IF(AND(M5&lt;91,18.2&lt;M5),$M$5-18.2,IF(M5=0,0,18.2))</f>
        <v>0</v>
      </c>
      <c r="N12" s="149">
        <f>IF(AND(N5&lt;65,13&lt;N5),$N$5-13,IF(N5=0,0,13))</f>
        <v>0</v>
      </c>
      <c r="O12" s="148">
        <f>IF(AND(L6&lt;143,28.6&lt;L6),$L$6-28.6,IF(L6=0,0,28.6))</f>
        <v>0</v>
      </c>
      <c r="P12" s="141">
        <f>IF(AND(M6&lt;100.1,20.02&lt;M6),$M$6-20.02,IF(M6=0,0,20.02))</f>
        <v>0</v>
      </c>
      <c r="Q12" s="149">
        <f>IF(AND(N6&lt;71.5,14.3&lt;N6),$N$6-14.3,IF(N6=0,0,14.3))</f>
        <v>0</v>
      </c>
      <c r="R12" s="3"/>
    </row>
    <row r="13" spans="1:18" ht="13.5" thickBot="1" x14ac:dyDescent="0.25">
      <c r="A13" s="17">
        <f>Betreuungszuschussrechner!N9</f>
        <v>0</v>
      </c>
      <c r="B13" s="30">
        <f>Betreuungszuschussrechner!I57</f>
        <v>0</v>
      </c>
      <c r="C13" s="18">
        <f>DAY(Betreuungszuschussrechner!I57)</f>
        <v>0</v>
      </c>
      <c r="E13" s="28"/>
      <c r="F13" s="23">
        <v>35000</v>
      </c>
      <c r="G13" s="6"/>
      <c r="H13" s="6"/>
      <c r="I13" s="6"/>
      <c r="J13" s="6"/>
      <c r="K13" s="147">
        <f>K12-0.057</f>
        <v>0.74299999999999999</v>
      </c>
      <c r="L13" s="148">
        <f>ROUND(($L$12/$K$12)*K13,1)</f>
        <v>0</v>
      </c>
      <c r="M13" s="141">
        <f>ROUND(($M$12/$K$12)*K13,1)</f>
        <v>0</v>
      </c>
      <c r="N13" s="149">
        <f>ROUND(($N$12/$K$12)*K13,1)</f>
        <v>0</v>
      </c>
      <c r="O13" s="148">
        <f>ROUND(($O$12/$K$12)*K13,1)</f>
        <v>0</v>
      </c>
      <c r="P13" s="141">
        <f>ROUND(($P$12/$K$12)*K13,1)</f>
        <v>0</v>
      </c>
      <c r="Q13" s="149">
        <f>ROUND(($Q$12/$K$12)*K13,1)</f>
        <v>0</v>
      </c>
      <c r="R13" s="3"/>
    </row>
    <row r="14" spans="1:18" ht="15.75" thickBot="1" x14ac:dyDescent="0.25">
      <c r="A14" s="15"/>
      <c r="B14" s="29"/>
      <c r="C14" s="13"/>
      <c r="E14" s="28"/>
      <c r="F14" s="23">
        <v>40000</v>
      </c>
      <c r="G14" s="6"/>
      <c r="H14" s="6"/>
      <c r="I14" s="6"/>
      <c r="J14" s="6"/>
      <c r="K14" s="147">
        <f>K13-0.057</f>
        <v>0.68599999999999994</v>
      </c>
      <c r="L14" s="148">
        <f>ROUND(($L$12/$K$12)*K14,1)</f>
        <v>0</v>
      </c>
      <c r="M14" s="141">
        <f t="shared" ref="M14:M26" si="0">ROUND(($M$12/$K$12)*K14,1)</f>
        <v>0</v>
      </c>
      <c r="N14" s="149">
        <f t="shared" ref="N14:N26" si="1">ROUND(($N$12/$K$12)*K14,1)</f>
        <v>0</v>
      </c>
      <c r="O14" s="148">
        <f t="shared" ref="O14:O26" si="2">ROUND(($O$12/$K$12)*K14,1)</f>
        <v>0</v>
      </c>
      <c r="P14" s="141">
        <f t="shared" ref="P14:P26" si="3">ROUND(($P$12/$K$12)*K14,1)</f>
        <v>0</v>
      </c>
      <c r="Q14" s="149">
        <f t="shared" ref="Q14:Q26" si="4">ROUND(($Q$12/$K$12)*K14,1)</f>
        <v>0</v>
      </c>
      <c r="R14" s="4"/>
    </row>
    <row r="15" spans="1:18" ht="13.5" thickBot="1" x14ac:dyDescent="0.25">
      <c r="A15" s="15" t="s">
        <v>11</v>
      </c>
      <c r="B15" s="29"/>
      <c r="C15" s="13"/>
      <c r="E15" s="28"/>
      <c r="F15" s="23">
        <v>45000</v>
      </c>
      <c r="G15" s="6"/>
      <c r="H15" s="6"/>
      <c r="I15" s="6"/>
      <c r="J15" s="6"/>
      <c r="K15" s="147">
        <f>K14-0.057</f>
        <v>0.62899999999999989</v>
      </c>
      <c r="L15" s="148">
        <f t="shared" ref="L15:L26" si="5">ROUND(($L$12/$K$12)*K15,1)</f>
        <v>0</v>
      </c>
      <c r="M15" s="141">
        <f t="shared" si="0"/>
        <v>0</v>
      </c>
      <c r="N15" s="149">
        <f t="shared" si="1"/>
        <v>0</v>
      </c>
      <c r="O15" s="148">
        <f t="shared" si="2"/>
        <v>0</v>
      </c>
      <c r="P15" s="141">
        <f t="shared" si="3"/>
        <v>0</v>
      </c>
      <c r="Q15" s="149">
        <f t="shared" si="4"/>
        <v>0</v>
      </c>
    </row>
    <row r="16" spans="1:18" ht="13.5" thickBot="1" x14ac:dyDescent="0.25">
      <c r="A16" s="19">
        <f>Berechnung!A13-B13</f>
        <v>0</v>
      </c>
      <c r="B16" s="29"/>
      <c r="C16" s="13"/>
      <c r="F16" s="23">
        <v>50000</v>
      </c>
      <c r="G16" s="6"/>
      <c r="H16" s="6"/>
      <c r="I16" s="6"/>
      <c r="J16" s="6"/>
      <c r="K16" s="147">
        <v>0.57099999999999995</v>
      </c>
      <c r="L16" s="148">
        <f t="shared" si="5"/>
        <v>0</v>
      </c>
      <c r="M16" s="141">
        <f t="shared" si="0"/>
        <v>0</v>
      </c>
      <c r="N16" s="149">
        <f t="shared" si="1"/>
        <v>0</v>
      </c>
      <c r="O16" s="148">
        <f t="shared" si="2"/>
        <v>0</v>
      </c>
      <c r="P16" s="141">
        <f t="shared" si="3"/>
        <v>0</v>
      </c>
      <c r="Q16" s="149">
        <f t="shared" si="4"/>
        <v>0</v>
      </c>
    </row>
    <row r="17" spans="1:17" ht="13.5" thickBot="1" x14ac:dyDescent="0.25">
      <c r="A17" s="15"/>
      <c r="B17" s="29"/>
      <c r="C17" s="13"/>
      <c r="F17" s="23">
        <v>55000</v>
      </c>
      <c r="G17" s="6"/>
      <c r="H17" s="6"/>
      <c r="I17" s="6"/>
      <c r="J17" s="6"/>
      <c r="K17" s="147">
        <f t="shared" ref="K17:K22" si="6">K16-0.057</f>
        <v>0.5139999999999999</v>
      </c>
      <c r="L17" s="148">
        <f t="shared" si="5"/>
        <v>0</v>
      </c>
      <c r="M17" s="141">
        <f t="shared" si="0"/>
        <v>0</v>
      </c>
      <c r="N17" s="149">
        <f t="shared" si="1"/>
        <v>0</v>
      </c>
      <c r="O17" s="148">
        <f t="shared" si="2"/>
        <v>0</v>
      </c>
      <c r="P17" s="141">
        <f t="shared" si="3"/>
        <v>0</v>
      </c>
      <c r="Q17" s="149">
        <f t="shared" si="4"/>
        <v>0</v>
      </c>
    </row>
    <row r="18" spans="1:17" ht="13.5" thickBot="1" x14ac:dyDescent="0.25">
      <c r="A18" s="15" t="s">
        <v>12</v>
      </c>
      <c r="B18" s="29"/>
      <c r="C18" s="13"/>
      <c r="F18" s="23">
        <v>60000</v>
      </c>
      <c r="G18" s="6"/>
      <c r="H18" s="6"/>
      <c r="I18" s="6"/>
      <c r="J18" s="6"/>
      <c r="K18" s="147">
        <f t="shared" si="6"/>
        <v>0.45699999999999991</v>
      </c>
      <c r="L18" s="148">
        <f t="shared" si="5"/>
        <v>0</v>
      </c>
      <c r="M18" s="141">
        <f t="shared" si="0"/>
        <v>0</v>
      </c>
      <c r="N18" s="149">
        <f t="shared" si="1"/>
        <v>0</v>
      </c>
      <c r="O18" s="148">
        <f t="shared" si="2"/>
        <v>0</v>
      </c>
      <c r="P18" s="141">
        <f t="shared" si="3"/>
        <v>0</v>
      </c>
      <c r="Q18" s="149">
        <f t="shared" si="4"/>
        <v>0</v>
      </c>
    </row>
    <row r="19" spans="1:17" ht="13.5" thickBot="1" x14ac:dyDescent="0.25">
      <c r="A19" s="19">
        <v>579</v>
      </c>
      <c r="B19" s="29"/>
      <c r="C19" s="13"/>
      <c r="D19" s="28"/>
      <c r="F19" s="23">
        <v>65000</v>
      </c>
      <c r="G19" s="6"/>
      <c r="H19" s="6"/>
      <c r="I19" s="6"/>
      <c r="J19" s="6"/>
      <c r="K19" s="147">
        <f t="shared" si="6"/>
        <v>0.39999999999999991</v>
      </c>
      <c r="L19" s="148">
        <f t="shared" si="5"/>
        <v>0</v>
      </c>
      <c r="M19" s="141">
        <f t="shared" si="0"/>
        <v>0</v>
      </c>
      <c r="N19" s="149">
        <f t="shared" si="1"/>
        <v>0</v>
      </c>
      <c r="O19" s="148">
        <f t="shared" si="2"/>
        <v>0</v>
      </c>
      <c r="P19" s="141">
        <f t="shared" si="3"/>
        <v>0</v>
      </c>
      <c r="Q19" s="149">
        <f t="shared" si="4"/>
        <v>0</v>
      </c>
    </row>
    <row r="20" spans="1:17" ht="13.5" thickBot="1" x14ac:dyDescent="0.25">
      <c r="A20" s="15"/>
      <c r="B20" s="29"/>
      <c r="C20" s="13"/>
      <c r="F20" s="23">
        <v>70000</v>
      </c>
      <c r="G20" s="6"/>
      <c r="H20" s="6"/>
      <c r="I20" s="6"/>
      <c r="J20" s="6"/>
      <c r="K20" s="147">
        <f t="shared" si="6"/>
        <v>0.34299999999999992</v>
      </c>
      <c r="L20" s="148">
        <f t="shared" si="5"/>
        <v>0</v>
      </c>
      <c r="M20" s="141">
        <f t="shared" si="0"/>
        <v>0</v>
      </c>
      <c r="N20" s="149">
        <f t="shared" si="1"/>
        <v>0</v>
      </c>
      <c r="O20" s="148">
        <f t="shared" si="2"/>
        <v>0</v>
      </c>
      <c r="P20" s="141">
        <f t="shared" si="3"/>
        <v>0</v>
      </c>
      <c r="Q20" s="149">
        <f t="shared" si="4"/>
        <v>0</v>
      </c>
    </row>
    <row r="21" spans="1:17" ht="15.75" thickBot="1" x14ac:dyDescent="0.25">
      <c r="A21" s="15" t="s">
        <v>14</v>
      </c>
      <c r="B21" s="29"/>
      <c r="C21" s="13"/>
      <c r="F21" s="23">
        <v>75000</v>
      </c>
      <c r="G21" s="8"/>
      <c r="H21" s="9"/>
      <c r="I21" s="9"/>
      <c r="J21" s="10"/>
      <c r="K21" s="147">
        <f t="shared" si="6"/>
        <v>0.28599999999999992</v>
      </c>
      <c r="L21" s="148">
        <f t="shared" si="5"/>
        <v>0</v>
      </c>
      <c r="M21" s="141">
        <f t="shared" si="0"/>
        <v>0</v>
      </c>
      <c r="N21" s="149">
        <f t="shared" si="1"/>
        <v>0</v>
      </c>
      <c r="O21" s="148">
        <f t="shared" si="2"/>
        <v>0</v>
      </c>
      <c r="P21" s="141">
        <f t="shared" si="3"/>
        <v>0</v>
      </c>
      <c r="Q21" s="149">
        <f t="shared" si="4"/>
        <v>0</v>
      </c>
    </row>
    <row r="22" spans="1:17" ht="13.5" thickBot="1" x14ac:dyDescent="0.25">
      <c r="A22" s="17">
        <f>Betreuungszuschussrechner!N9</f>
        <v>0</v>
      </c>
      <c r="B22" s="30">
        <f>Betreuungszuschussrechner!I60</f>
        <v>0</v>
      </c>
      <c r="C22" s="18">
        <f>DAY(Betreuungszuschussrechner!I60)</f>
        <v>0</v>
      </c>
      <c r="F22" s="23">
        <v>80000</v>
      </c>
      <c r="G22" s="6"/>
      <c r="H22" s="6"/>
      <c r="I22" s="6"/>
      <c r="J22" s="6"/>
      <c r="K22" s="147">
        <f t="shared" si="6"/>
        <v>0.22899999999999993</v>
      </c>
      <c r="L22" s="148">
        <f t="shared" si="5"/>
        <v>0</v>
      </c>
      <c r="M22" s="141">
        <f t="shared" si="0"/>
        <v>0</v>
      </c>
      <c r="N22" s="149">
        <f t="shared" si="1"/>
        <v>0</v>
      </c>
      <c r="O22" s="148">
        <f t="shared" si="2"/>
        <v>0</v>
      </c>
      <c r="P22" s="141">
        <f t="shared" si="3"/>
        <v>0</v>
      </c>
      <c r="Q22" s="149">
        <f t="shared" si="4"/>
        <v>0</v>
      </c>
    </row>
    <row r="23" spans="1:17" ht="13.5" thickBot="1" x14ac:dyDescent="0.25">
      <c r="A23" s="15"/>
      <c r="B23" s="29"/>
      <c r="C23" s="13"/>
      <c r="F23" s="24">
        <v>90000</v>
      </c>
      <c r="G23" s="22"/>
      <c r="H23" s="22"/>
      <c r="I23" s="22"/>
      <c r="J23" s="22"/>
      <c r="K23" s="147">
        <v>0.17100000000000001</v>
      </c>
      <c r="L23" s="148">
        <f t="shared" si="5"/>
        <v>0</v>
      </c>
      <c r="M23" s="141">
        <f t="shared" si="0"/>
        <v>0</v>
      </c>
      <c r="N23" s="149">
        <f t="shared" si="1"/>
        <v>0</v>
      </c>
      <c r="O23" s="148">
        <f t="shared" si="2"/>
        <v>0</v>
      </c>
      <c r="P23" s="141">
        <f t="shared" si="3"/>
        <v>0</v>
      </c>
      <c r="Q23" s="149">
        <f t="shared" si="4"/>
        <v>0</v>
      </c>
    </row>
    <row r="24" spans="1:17" ht="13.5" thickBot="1" x14ac:dyDescent="0.25">
      <c r="A24" s="15" t="s">
        <v>11</v>
      </c>
      <c r="B24" s="29"/>
      <c r="C24" s="13"/>
      <c r="F24" s="24">
        <v>100000</v>
      </c>
      <c r="G24" s="22"/>
      <c r="H24" s="22"/>
      <c r="I24" s="22"/>
      <c r="J24" s="22"/>
      <c r="K24" s="147">
        <f>K23-0.057</f>
        <v>0.11400000000000002</v>
      </c>
      <c r="L24" s="148">
        <f t="shared" si="5"/>
        <v>0</v>
      </c>
      <c r="M24" s="141">
        <f t="shared" si="0"/>
        <v>0</v>
      </c>
      <c r="N24" s="149">
        <f t="shared" si="1"/>
        <v>0</v>
      </c>
      <c r="O24" s="148">
        <f t="shared" si="2"/>
        <v>0</v>
      </c>
      <c r="P24" s="141">
        <f t="shared" si="3"/>
        <v>0</v>
      </c>
      <c r="Q24" s="149">
        <f t="shared" si="4"/>
        <v>0</v>
      </c>
    </row>
    <row r="25" spans="1:17" ht="13.5" thickBot="1" x14ac:dyDescent="0.25">
      <c r="A25" s="19">
        <f>Berechnung!A22-B22</f>
        <v>0</v>
      </c>
      <c r="B25" s="29"/>
      <c r="C25" s="13"/>
      <c r="F25" s="24">
        <v>110000</v>
      </c>
      <c r="G25" s="22"/>
      <c r="H25" s="22"/>
      <c r="I25" s="22"/>
      <c r="J25" s="22"/>
      <c r="K25" s="147">
        <f>K24-0.057</f>
        <v>5.7000000000000016E-2</v>
      </c>
      <c r="L25" s="148">
        <f>ROUND(($L$12/$K$12)*K25,1)</f>
        <v>0</v>
      </c>
      <c r="M25" s="141">
        <f t="shared" si="0"/>
        <v>0</v>
      </c>
      <c r="N25" s="149">
        <f t="shared" si="1"/>
        <v>0</v>
      </c>
      <c r="O25" s="148">
        <f t="shared" si="2"/>
        <v>0</v>
      </c>
      <c r="P25" s="141">
        <f t="shared" si="3"/>
        <v>0</v>
      </c>
      <c r="Q25" s="149">
        <f t="shared" si="4"/>
        <v>0</v>
      </c>
    </row>
    <row r="26" spans="1:17" ht="13.5" thickBot="1" x14ac:dyDescent="0.25">
      <c r="A26" s="15"/>
      <c r="B26" s="29"/>
      <c r="C26" s="13"/>
      <c r="F26" s="24">
        <v>120000</v>
      </c>
      <c r="G26" s="22"/>
      <c r="H26" s="22"/>
      <c r="I26" s="22"/>
      <c r="J26" s="22"/>
      <c r="K26" s="147">
        <f>K25-0.057</f>
        <v>0</v>
      </c>
      <c r="L26" s="148">
        <f t="shared" si="5"/>
        <v>0</v>
      </c>
      <c r="M26" s="141">
        <f t="shared" si="0"/>
        <v>0</v>
      </c>
      <c r="N26" s="149">
        <f t="shared" si="1"/>
        <v>0</v>
      </c>
      <c r="O26" s="148">
        <f t="shared" si="2"/>
        <v>0</v>
      </c>
      <c r="P26" s="141">
        <f t="shared" si="3"/>
        <v>0</v>
      </c>
      <c r="Q26" s="149">
        <f t="shared" si="4"/>
        <v>0</v>
      </c>
    </row>
    <row r="27" spans="1:17" x14ac:dyDescent="0.2">
      <c r="A27" s="15" t="s">
        <v>12</v>
      </c>
      <c r="B27" s="29"/>
      <c r="C27" s="13"/>
    </row>
    <row r="28" spans="1:17" x14ac:dyDescent="0.2">
      <c r="A28" s="19">
        <v>579</v>
      </c>
      <c r="B28" s="29"/>
      <c r="C28" s="13"/>
      <c r="P28" s="29"/>
    </row>
    <row r="29" spans="1:17" x14ac:dyDescent="0.2">
      <c r="A29" s="15"/>
      <c r="B29" s="29"/>
      <c r="C29" s="13"/>
      <c r="F29" s="32">
        <f>YEAR(A4)-8</f>
        <v>1892</v>
      </c>
      <c r="G29" s="32">
        <f>DATE(F29,1,1)</f>
        <v>691041</v>
      </c>
      <c r="H29" s="32"/>
      <c r="P29" s="29"/>
    </row>
    <row r="30" spans="1:17" x14ac:dyDescent="0.2">
      <c r="A30" s="15" t="s">
        <v>15</v>
      </c>
      <c r="B30" s="29"/>
      <c r="C30" s="13"/>
      <c r="F30" s="32"/>
      <c r="G30" s="28"/>
      <c r="P30" s="29"/>
    </row>
    <row r="31" spans="1:17" x14ac:dyDescent="0.2">
      <c r="A31" s="17">
        <f>Betreuungszuschussrechner!N9</f>
        <v>0</v>
      </c>
      <c r="B31" s="30">
        <f>Betreuungszuschussrechner!I63</f>
        <v>0</v>
      </c>
      <c r="C31" s="18">
        <f>DAY(Betreuungszuschussrechner!I63)</f>
        <v>0</v>
      </c>
      <c r="G31" s="28"/>
      <c r="H31" s="32"/>
      <c r="P31" s="29"/>
    </row>
    <row r="32" spans="1:17" x14ac:dyDescent="0.2">
      <c r="A32" s="15"/>
      <c r="B32" s="29"/>
      <c r="C32" s="13"/>
      <c r="F32" s="32"/>
      <c r="G32" s="28"/>
      <c r="J32" s="28"/>
    </row>
    <row r="33" spans="1:7" x14ac:dyDescent="0.2">
      <c r="A33" s="15" t="s">
        <v>11</v>
      </c>
      <c r="B33" s="29"/>
      <c r="C33" s="13"/>
      <c r="G33" s="28"/>
    </row>
    <row r="34" spans="1:7" x14ac:dyDescent="0.2">
      <c r="A34" s="19">
        <f>Berechnung!A31-B31</f>
        <v>0</v>
      </c>
      <c r="B34" s="29"/>
      <c r="C34" s="13"/>
      <c r="G34" s="28"/>
    </row>
    <row r="35" spans="1:7" x14ac:dyDescent="0.2">
      <c r="A35" s="15"/>
      <c r="B35" s="29"/>
      <c r="C35" s="13"/>
      <c r="G35" s="28"/>
    </row>
    <row r="36" spans="1:7" x14ac:dyDescent="0.2">
      <c r="A36" s="15" t="s">
        <v>12</v>
      </c>
      <c r="B36" s="29"/>
      <c r="C36" s="13"/>
      <c r="G36" s="28"/>
    </row>
    <row r="37" spans="1:7" ht="18" customHeight="1" x14ac:dyDescent="0.2">
      <c r="A37" s="19">
        <v>579</v>
      </c>
      <c r="B37" s="29"/>
      <c r="C37" s="13"/>
      <c r="G37" s="28"/>
    </row>
    <row r="38" spans="1:7" ht="18" customHeight="1" x14ac:dyDescent="0.2">
      <c r="A38" s="21"/>
      <c r="B38" s="31"/>
      <c r="C38" s="20"/>
      <c r="G38" s="28"/>
    </row>
    <row r="39" spans="1:7" ht="15.75" customHeight="1" x14ac:dyDescent="0.2">
      <c r="G39" s="28"/>
    </row>
    <row r="40" spans="1:7" x14ac:dyDescent="0.2">
      <c r="G40" s="28"/>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Betreuungszuschussrechner</vt:lpstr>
      <vt:lpstr>Berechnung</vt:lpstr>
      <vt:lpstr>Betreuungszuschussrechner!Druckbereich</vt:lpstr>
    </vt:vector>
  </TitlesOfParts>
  <Company>Interface Politikstudien Forschung Beratung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Guggenbühl Anatolij</dc:creator>
  <cp:lastModifiedBy>Frei Carina</cp:lastModifiedBy>
  <cp:lastPrinted>2021-12-13T08:06:30Z</cp:lastPrinted>
  <dcterms:created xsi:type="dcterms:W3CDTF">2015-09-28T12:18:10Z</dcterms:created>
  <dcterms:modified xsi:type="dcterms:W3CDTF">2024-06-03T12:12:44Z</dcterms:modified>
</cp:coreProperties>
</file>